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2"/>
  </bookViews>
  <sheets>
    <sheet name="январь-декабрь 2019" sheetId="1" r:id="rId1"/>
    <sheet name="январь 2020" sheetId="2" r:id="rId2"/>
    <sheet name="февраль 2020 " sheetId="3" r:id="rId3"/>
  </sheets>
  <definedNames>
    <definedName name="_xlnm.Print_Area" localSheetId="2">'февраль 2020 '!$A$1:$IH$83</definedName>
    <definedName name="_xlnm.Print_Area" localSheetId="1">'январь 2020'!$A$1:$IH$83</definedName>
    <definedName name="_xlnm.Print_Area" localSheetId="0">'январь-декабрь 2019'!$A$1:$IH$117</definedName>
  </definedNames>
  <calcPr fullCalcOnLoad="1"/>
</workbook>
</file>

<file path=xl/sharedStrings.xml><?xml version="1.0" encoding="utf-8"?>
<sst xmlns="http://schemas.openxmlformats.org/spreadsheetml/2006/main" count="2311" uniqueCount="207">
  <si>
    <t>#</t>
  </si>
  <si>
    <t>Наименование_Точки_Учета</t>
  </si>
  <si>
    <t>дата</t>
  </si>
  <si>
    <t>СуммАктЭн</t>
  </si>
  <si>
    <t>СуммАктивнаяЭнергия</t>
  </si>
  <si>
    <t>2556659</t>
  </si>
  <si>
    <t>2753943</t>
  </si>
  <si>
    <t>2550487</t>
  </si>
  <si>
    <t>2598993</t>
  </si>
  <si>
    <t>2558921</t>
  </si>
  <si>
    <t>2621521</t>
  </si>
  <si>
    <t>2553483</t>
  </si>
  <si>
    <t>2815429</t>
  </si>
  <si>
    <t>2754760</t>
  </si>
  <si>
    <t>2804968</t>
  </si>
  <si>
    <t>2804906</t>
  </si>
  <si>
    <t>2815443</t>
  </si>
  <si>
    <t>2815783</t>
  </si>
  <si>
    <t>2816948</t>
  </si>
  <si>
    <t>2815464</t>
  </si>
  <si>
    <t>2815477</t>
  </si>
  <si>
    <t>2816570</t>
  </si>
  <si>
    <t>2816917</t>
  </si>
  <si>
    <t>2816987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</si>
  <si>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</si>
  <si>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</si>
  <si>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</si>
  <si>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</si>
  <si>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</si>
  <si>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</si>
  <si>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</si>
  <si>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</si>
  <si>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</si>
  <si>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</si>
  <si>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</si>
  <si>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</si>
  <si>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2816941</t>
  </si>
  <si>
    <t>2807848</t>
  </si>
  <si>
    <t>2754557</t>
  </si>
  <si>
    <t>Фактический объем</t>
  </si>
  <si>
    <t>РО</t>
  </si>
  <si>
    <t>Расчетный объем</t>
  </si>
  <si>
    <t>Примечание</t>
  </si>
  <si>
    <t>Корректировка текущих показаний</t>
  </si>
  <si>
    <t>ПРОВЕРКА</t>
  </si>
  <si>
    <t>Показания счетчиков в расчет</t>
  </si>
  <si>
    <t>2817864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</si>
  <si>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</si>
  <si>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</si>
  <si>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</si>
  <si>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</si>
  <si>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</si>
  <si>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</si>
  <si>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</si>
  <si>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</si>
  <si>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</si>
  <si>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</si>
  <si>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</si>
  <si>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</si>
  <si>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</si>
  <si>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</si>
  <si>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</si>
  <si>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</si>
  <si>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</si>
  <si>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П1 312_Борисов С.А.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</si>
  <si>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</si>
  <si>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</si>
  <si>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</si>
  <si>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</si>
  <si>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</si>
  <si>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</si>
  <si>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</si>
  <si>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</si>
  <si>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П1 405_Коркина Е.А.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</si>
  <si>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</si>
  <si>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</si>
  <si>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</si>
  <si>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</si>
  <si>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</si>
  <si>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</si>
  <si>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</si>
  <si>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</si>
  <si>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Сумма, руб. тариф 2,65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</si>
  <si>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</si>
  <si>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</si>
  <si>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</si>
  <si>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</si>
  <si>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</si>
  <si>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</si>
  <si>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Переплата (-)
Долг(+) 
на 01.01.2018</t>
  </si>
  <si>
    <t>ПАРТНЕРСТВО 1 "БУХТУЕВА И ПАРТНЕРЫ"
ДЕКАБРЬ 2017</t>
  </si>
  <si>
    <t>Оплачено в декабре 2017 г.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</si>
  <si>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</si>
  <si>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</si>
  <si>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</si>
  <si>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
ПУ за текущий год
(показания ст.ПУ минус показания нов.ПУ )</t>
  </si>
  <si>
    <t>ВСЕГО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</si>
  <si>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</si>
  <si>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</si>
  <si>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</si>
  <si>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3886775</t>
  </si>
  <si>
    <t>3896065</t>
  </si>
  <si>
    <t>3904375</t>
  </si>
  <si>
    <t>3887317</t>
  </si>
  <si>
    <t>3886964</t>
  </si>
  <si>
    <t>Переплата (-)
Долг(+) 
на 01.01.2019</t>
  </si>
  <si>
    <t>первое полугодие 2019</t>
  </si>
  <si>
    <t>второе полугодие 2019</t>
  </si>
  <si>
    <t>Оплачено в январе 2019</t>
  </si>
  <si>
    <t>Показания счетчиков в расчет за декабрь 2018</t>
  </si>
  <si>
    <t>Сумма, руб. тариф 2,77руб./кВт</t>
  </si>
  <si>
    <t>Переплата (-)
Долг(+) 
на 01.02.2019</t>
  </si>
  <si>
    <t>СВОДНАЯ ТАБЛИЦА ПОКАЗАНИЙ 2019 ГОД
ПАРТНЕРСТВО 1</t>
  </si>
  <si>
    <t xml:space="preserve">Корректировка показаний ПУ за 2018 год
</t>
  </si>
  <si>
    <t>Оплачено в феврале 2019</t>
  </si>
  <si>
    <t>ПАРТНЕРСТВО 1 ФЕВРАЛЬ 2019 ГОДА</t>
  </si>
  <si>
    <t>Январь 2019 факт</t>
  </si>
  <si>
    <t>Январь 2019 факт (поправка П1_91 Тихонов)</t>
  </si>
  <si>
    <t>Сумма, руб. тариф 2,82руб./кВт</t>
  </si>
  <si>
    <t>Переплата (-)
Долг(+) 
на 01.03.2019</t>
  </si>
  <si>
    <t>т.е. в январе завышены потери на 300 кВт</t>
  </si>
  <si>
    <t>потери уменьшены на 300 кВт (в формуле расчета)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</si>
  <si>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</si>
  <si>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</si>
  <si>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</si>
  <si>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</si>
  <si>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Оплачено в марте 2019</t>
  </si>
  <si>
    <t>П1 276_Будников В.Т. 
(Монтаж 23.03.2019)</t>
  </si>
  <si>
    <t>П1 312 Борисов  С.А. 
(Монтаж 23.03.2019)</t>
  </si>
  <si>
    <t>П1 405 Коркина Е.А. 
(Монтаж 23.03.2019)</t>
  </si>
  <si>
    <t>ПАРТНЕРСТВО 1 МАРТ 2019 ГОДА</t>
  </si>
  <si>
    <t>Переплата (-)
Долг(+) 
на 01.04.2019</t>
  </si>
  <si>
    <t>РО/2</t>
  </si>
  <si>
    <t>Расчетный объем/Фактический объем</t>
  </si>
  <si>
    <t>П1 312 Борисов С.А.</t>
  </si>
  <si>
    <t>П1 405 Коркина Е.А.</t>
  </si>
  <si>
    <t>Оплачено в апреле 2019 г.</t>
  </si>
  <si>
    <t>Переплата (-)
Долг(+) 
на 01.05.2019</t>
  </si>
  <si>
    <t>ПАРТНЕРСТВО 1 АПРЕЛЬ 2019 ГОДА</t>
  </si>
  <si>
    <t>ПАРТНЕРСТВО 1 МАЙ 2019 ГОДА</t>
  </si>
  <si>
    <t>Оплачено в мае 2019</t>
  </si>
  <si>
    <t>Переплата (-)
Долг(+) 
на 01.06.2019</t>
  </si>
  <si>
    <t>оплачено в июне 2019</t>
  </si>
  <si>
    <t>Переплата (-)
Долг(+) 
на 01.07.2019</t>
  </si>
  <si>
    <t>ПАРТНЕРСТВО 1 ИЮНЬ 2019 ГОДА</t>
  </si>
  <si>
    <t>11406173</t>
  </si>
  <si>
    <t>оплачено в июле 2019</t>
  </si>
  <si>
    <t>ПАРТНЕРСТВО 1 ИЮЛЬ 2019 ГОДА</t>
  </si>
  <si>
    <t>Сумма, руб. тариф 2,90руб./кВт</t>
  </si>
  <si>
    <t>Переплата (-)
Долг(+) 
на 01.08.2019</t>
  </si>
  <si>
    <t>Фактический объем 
(монтаж 3-ф.сч.19.07.2019)</t>
  </si>
  <si>
    <t>2795352</t>
  </si>
  <si>
    <t>оплачено в августе 2019</t>
  </si>
  <si>
    <t>Переплата (-)
Долг(+) 
на 01.09.2019</t>
  </si>
  <si>
    <t xml:space="preserve">Фактический объем 
</t>
  </si>
  <si>
    <t>Расчетный объем+
Фактический объем
монтаж счетчика 28.08.2019</t>
  </si>
  <si>
    <t>ПАРТНЕРСТВО 1 АВГУСТ 2019 ГОДА</t>
  </si>
  <si>
    <t>оплачено в сентябре</t>
  </si>
  <si>
    <t>ПАРТНЕРСТВО 1 СЕНТЯБРЬ 2019 ГОДА</t>
  </si>
  <si>
    <t>Переплата (-)
Долг(+) 
на 01.10.2019</t>
  </si>
  <si>
    <t>Тариф по соцнорме, руб./кВт</t>
  </si>
  <si>
    <t>сумма к оплате</t>
  </si>
  <si>
    <t>х</t>
  </si>
  <si>
    <t>Сумма к оплате, руб. тариф 2,90руб./кВт</t>
  </si>
  <si>
    <t>к возмещению от п2п3п4п5п6, руб.</t>
  </si>
  <si>
    <t>Сумаа к оплате садоводом с учетом возмещения, руб.</t>
  </si>
  <si>
    <t>к возмещению от п2п3п4п5п6 за переиспользование потребления по СН =(161-30)*110-15460,59факт=14410-15460,59=-1050,59</t>
  </si>
  <si>
    <t>сумма, руб.</t>
  </si>
  <si>
    <t>потребление,кВт</t>
  </si>
  <si>
    <t>тариф, руб/кВт</t>
  </si>
  <si>
    <t>ПАРТНЕРСТВО 1 ЯНВАРЬ 2019 ГОДА</t>
  </si>
  <si>
    <t>оплачено в октябре</t>
  </si>
  <si>
    <t>итого к начислению</t>
  </si>
  <si>
    <t>Переплата (-)
Долг(+) 
на 01.11.2019</t>
  </si>
  <si>
    <t>ПАРТНЕРСТВО 1 ОКТЯБРЬ 2019 ГОДА</t>
  </si>
  <si>
    <t>Возмещение п1 за сентябрь 2019</t>
  </si>
  <si>
    <t>Возмещение п1 за октябрь 2019</t>
  </si>
  <si>
    <t>оплачено в ноябре</t>
  </si>
  <si>
    <t>Переплата (-)
Долг(+) 
на 01.12.2019</t>
  </si>
  <si>
    <t>Возмещение п1 за ноябрь 2019</t>
  </si>
  <si>
    <t>Сумаа к начислению по садоводам с учетом возмещения, руб.</t>
  </si>
  <si>
    <t>ПАРТНЕРСТВО 1 НОЯБРЬ 2019 ГОДА</t>
  </si>
  <si>
    <t>в том числе п1</t>
  </si>
  <si>
    <t>в том числе п2п3п4п5п6 за период 14.12.2019-31.12.2019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</si>
  <si>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</si>
  <si>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</si>
  <si>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</si>
  <si>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Возмещение п1 за декабрь 2019</t>
  </si>
  <si>
    <t>декабрь 2019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</si>
  <si>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</si>
  <si>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</si>
  <si>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</si>
  <si>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</si>
  <si>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</si>
  <si>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</si>
  <si>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</si>
  <si>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</si>
  <si>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</si>
  <si>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</si>
  <si>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</si>
  <si>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</si>
  <si>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</si>
  <si>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</si>
  <si>
    <t>в том числе п2п3п4п5п6 за период 24.12.2019-30.12.2019</t>
  </si>
  <si>
    <t>Оплачено в феврале</t>
  </si>
  <si>
    <t>Переплата (-)
Долг(+) 
на 01.03.2020</t>
  </si>
  <si>
    <t>ПАРТНЕРСТВО 1  ФЕВРАЛЬ 2020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</si>
</sst>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"/>
    <numFmt numFmtId="182" formatCode="[$-1010419]#,##0.00;\-#,##0.00"/>
    <numFmt numFmtId="183" formatCode="mmm/yyyy"/>
    <numFmt numFmtId="184" formatCode="#,##0.00_ ;\-#,##0.00\ "/>
    <numFmt numFmtId="185" formatCode="#,##0.0_ ;\-#,##0.0\ "/>
    <numFmt numFmtId="186" formatCode="0.0"/>
    <numFmt numFmtId="187" formatCode="[$-1010419]dd\.mm\.yyyy\ hh:mm:ss"/>
    <numFmt numFmtId="188" formatCode="[$-FC19]d\ mmmm\ yyyy\ &quot;г.&quot;"/>
    <numFmt numFmtId="189" formatCode="dd/mm/yy;@"/>
    <numFmt numFmtId="190" formatCode="[$-F800]dddd\,\ mmmm\ dd\,\ yyyy"/>
    <numFmt numFmtId="191" formatCode="[$-419]mmmm\ yyyy;@"/>
    <numFmt numFmtId="192" formatCode="[$-FC19]yyyy\,\ dd\ mmmm;@"/>
    <numFmt numFmtId="193" formatCode="#,##0.0"/>
    <numFmt numFmtId="194" formatCode="[$-FC19]dd\ mmmm\ yyyy\ \г\.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400]h:mm:ss\ AM/PM"/>
    <numFmt numFmtId="200" formatCode="[$-419]d\ mmm\ yy;@"/>
  </numFmts>
  <fonts count="49">
    <font>
      <sz val="10"/>
      <name val="Arial"/>
      <family val="0"/>
    </font>
    <font>
      <sz val="10"/>
      <color indexed="8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6"/>
      <color indexed="8"/>
      <name val="Tahoma"/>
      <family val="2"/>
    </font>
    <font>
      <sz val="14"/>
      <name val="Arial"/>
      <family val="2"/>
    </font>
    <font>
      <strike/>
      <sz val="10"/>
      <color indexed="8"/>
      <name val="Symbol"/>
      <family val="1"/>
    </font>
    <font>
      <sz val="8"/>
      <color indexed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 wrapText="1"/>
    </xf>
    <xf numFmtId="18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91" fontId="3" fillId="0" borderId="10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36" borderId="10" xfId="0" applyNumberFormat="1" applyFont="1" applyFill="1" applyBorder="1" applyAlignment="1">
      <alignment horizontal="left" vertical="top" wrapText="1"/>
    </xf>
    <xf numFmtId="4" fontId="3" fillId="10" borderId="10" xfId="0" applyNumberFormat="1" applyFont="1" applyFill="1" applyBorder="1" applyAlignment="1">
      <alignment horizontal="left" vertical="top" wrapText="1"/>
    </xf>
    <xf numFmtId="4" fontId="3" fillId="37" borderId="10" xfId="0" applyNumberFormat="1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>
      <alignment horizontal="left" vertical="top" wrapText="1"/>
    </xf>
    <xf numFmtId="4" fontId="3" fillId="9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 horizontal="left" vertical="top" wrapText="1"/>
    </xf>
    <xf numFmtId="4" fontId="3" fillId="38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14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91" fontId="3" fillId="34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191" fontId="3" fillId="0" borderId="11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181" fontId="1" fillId="0" borderId="10" xfId="0" applyNumberFormat="1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4" fontId="1" fillId="37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182" fontId="1" fillId="3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1" fillId="10" borderId="10" xfId="0" applyNumberFormat="1" applyFont="1" applyFill="1" applyBorder="1" applyAlignment="1">
      <alignment vertical="top" wrapText="1"/>
    </xf>
    <xf numFmtId="4" fontId="0" fillId="9" borderId="10" xfId="0" applyNumberFormat="1" applyFont="1" applyFill="1" applyBorder="1" applyAlignment="1">
      <alignment horizontal="left" vertical="top" wrapText="1"/>
    </xf>
    <xf numFmtId="4" fontId="0" fillId="25" borderId="10" xfId="0" applyNumberFormat="1" applyFont="1" applyFill="1" applyBorder="1" applyAlignment="1">
      <alignment horizontal="left" vertical="top" wrapText="1"/>
    </xf>
    <xf numFmtId="4" fontId="0" fillId="38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4" fontId="0" fillId="36" borderId="10" xfId="0" applyNumberFormat="1" applyFont="1" applyFill="1" applyBorder="1" applyAlignment="1">
      <alignment horizontal="left" vertical="top" wrapText="1"/>
    </xf>
    <xf numFmtId="4" fontId="0" fillId="35" borderId="10" xfId="0" applyNumberFormat="1" applyFont="1" applyFill="1" applyBorder="1" applyAlignment="1">
      <alignment horizontal="left" vertical="top" wrapText="1"/>
    </xf>
    <xf numFmtId="4" fontId="4" fillId="34" borderId="0" xfId="0" applyNumberFormat="1" applyFont="1" applyFill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3" fillId="2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left" vertical="top" wrapText="1"/>
    </xf>
    <xf numFmtId="182" fontId="1" fillId="8" borderId="10" xfId="0" applyNumberFormat="1" applyFont="1" applyFill="1" applyBorder="1" applyAlignment="1">
      <alignment vertical="top" wrapText="1"/>
    </xf>
    <xf numFmtId="181" fontId="1" fillId="9" borderId="10" xfId="0" applyNumberFormat="1" applyFont="1" applyFill="1" applyBorder="1" applyAlignment="1">
      <alignment vertical="top" wrapText="1"/>
    </xf>
    <xf numFmtId="182" fontId="1" fillId="9" borderId="10" xfId="0" applyNumberFormat="1" applyFont="1" applyFill="1" applyBorder="1" applyAlignment="1">
      <alignment vertical="top" wrapText="1"/>
    </xf>
    <xf numFmtId="4" fontId="3" fillId="36" borderId="0" xfId="0" applyNumberFormat="1" applyFont="1" applyFill="1" applyAlignment="1">
      <alignment horizontal="right" vertical="top" wrapText="1"/>
    </xf>
    <xf numFmtId="4" fontId="0" fillId="35" borderId="0" xfId="0" applyNumberFormat="1" applyFont="1" applyFill="1" applyAlignment="1">
      <alignment horizontal="right" vertical="top" wrapText="1"/>
    </xf>
    <xf numFmtId="4" fontId="0" fillId="37" borderId="10" xfId="0" applyNumberFormat="1" applyFont="1" applyFill="1" applyBorder="1" applyAlignment="1">
      <alignment horizontal="left" vertical="top" wrapText="1"/>
    </xf>
    <xf numFmtId="4" fontId="0" fillId="2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182" fontId="1" fillId="37" borderId="10" xfId="0" applyNumberFormat="1" applyFont="1" applyFill="1" applyBorder="1" applyAlignment="1">
      <alignment vertical="top" wrapText="1"/>
    </xf>
    <xf numFmtId="182" fontId="1" fillId="33" borderId="10" xfId="0" applyNumberFormat="1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left" vertical="top" wrapText="1"/>
    </xf>
    <xf numFmtId="182" fontId="1" fillId="35" borderId="10" xfId="0" applyNumberFormat="1" applyFont="1" applyFill="1" applyBorder="1" applyAlignment="1">
      <alignment horizontal="left" vertical="top" wrapText="1"/>
    </xf>
    <xf numFmtId="3" fontId="0" fillId="9" borderId="10" xfId="0" applyNumberFormat="1" applyFont="1" applyFill="1" applyBorder="1" applyAlignment="1">
      <alignment horizontal="center" vertical="top" wrapText="1"/>
    </xf>
    <xf numFmtId="4" fontId="4" fillId="9" borderId="10" xfId="0" applyNumberFormat="1" applyFont="1" applyFill="1" applyBorder="1" applyAlignment="1">
      <alignment horizontal="left" vertical="top" wrapText="1"/>
    </xf>
    <xf numFmtId="182" fontId="1" fillId="0" borderId="12" xfId="0" applyNumberFormat="1" applyFont="1" applyFill="1" applyBorder="1" applyAlignment="1">
      <alignment vertical="top" wrapText="1"/>
    </xf>
    <xf numFmtId="182" fontId="1" fillId="8" borderId="13" xfId="0" applyNumberFormat="1" applyFont="1" applyFill="1" applyBorder="1" applyAlignment="1">
      <alignment vertical="top" wrapText="1"/>
    </xf>
    <xf numFmtId="182" fontId="1" fillId="8" borderId="11" xfId="0" applyNumberFormat="1" applyFont="1" applyFill="1" applyBorder="1" applyAlignment="1">
      <alignment vertical="top" wrapText="1"/>
    </xf>
    <xf numFmtId="182" fontId="9" fillId="9" borderId="14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4" fontId="4" fillId="39" borderId="10" xfId="0" applyNumberFormat="1" applyFont="1" applyFill="1" applyBorder="1" applyAlignment="1">
      <alignment horizontal="left" vertical="top" wrapText="1"/>
    </xf>
    <xf numFmtId="4" fontId="0" fillId="35" borderId="10" xfId="0" applyNumberFormat="1" applyFont="1" applyFill="1" applyBorder="1" applyAlignment="1">
      <alignment horizontal="right" vertical="top" wrapText="1"/>
    </xf>
    <xf numFmtId="181" fontId="1" fillId="0" borderId="10" xfId="0" applyNumberFormat="1" applyFont="1" applyFill="1" applyBorder="1" applyAlignment="1">
      <alignment horizontal="right" vertical="top" wrapText="1"/>
    </xf>
    <xf numFmtId="4" fontId="1" fillId="1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181" fontId="1" fillId="9" borderId="10" xfId="0" applyNumberFormat="1" applyFont="1" applyFill="1" applyBorder="1" applyAlignment="1">
      <alignment horizontal="right" vertical="top" wrapText="1"/>
    </xf>
    <xf numFmtId="4" fontId="1" fillId="9" borderId="10" xfId="0" applyNumberFormat="1" applyFont="1" applyFill="1" applyBorder="1" applyAlignment="1">
      <alignment horizontal="right" vertical="top" wrapText="1"/>
    </xf>
    <xf numFmtId="4" fontId="1" fillId="8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7" borderId="10" xfId="0" applyNumberFormat="1" applyFont="1" applyFill="1" applyBorder="1" applyAlignment="1">
      <alignment horizontal="right" vertical="top" wrapText="1"/>
    </xf>
    <xf numFmtId="4" fontId="3" fillId="9" borderId="10" xfId="0" applyNumberFormat="1" applyFont="1" applyFill="1" applyBorder="1" applyAlignment="1">
      <alignment horizontal="right" vertical="top" wrapText="1"/>
    </xf>
    <xf numFmtId="4" fontId="3" fillId="3" borderId="10" xfId="0" applyNumberFormat="1" applyFont="1" applyFill="1" applyBorder="1" applyAlignment="1">
      <alignment horizontal="right" vertical="top" wrapText="1"/>
    </xf>
    <xf numFmtId="4" fontId="4" fillId="34" borderId="15" xfId="0" applyNumberFormat="1" applyFont="1" applyFill="1" applyBorder="1" applyAlignment="1">
      <alignment horizontal="left" vertical="top" wrapText="1"/>
    </xf>
    <xf numFmtId="4" fontId="4" fillId="34" borderId="16" xfId="0" applyNumberFormat="1" applyFont="1" applyFill="1" applyBorder="1" applyAlignment="1">
      <alignment horizontal="left" vertical="top" wrapText="1"/>
    </xf>
    <xf numFmtId="4" fontId="4" fillId="39" borderId="12" xfId="0" applyNumberFormat="1" applyFont="1" applyFill="1" applyBorder="1" applyAlignment="1">
      <alignment horizontal="left" vertical="top" wrapText="1"/>
    </xf>
    <xf numFmtId="4" fontId="3" fillId="25" borderId="12" xfId="0" applyNumberFormat="1" applyFont="1" applyFill="1" applyBorder="1" applyAlignment="1">
      <alignment horizontal="right" vertical="top" wrapText="1"/>
    </xf>
    <xf numFmtId="4" fontId="0" fillId="35" borderId="12" xfId="0" applyNumberFormat="1" applyFont="1" applyFill="1" applyBorder="1" applyAlignment="1">
      <alignment horizontal="right" vertical="top" wrapText="1"/>
    </xf>
    <xf numFmtId="4" fontId="4" fillId="39" borderId="13" xfId="0" applyNumberFormat="1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horizontal="right" vertical="top" wrapText="1"/>
    </xf>
    <xf numFmtId="4" fontId="0" fillId="35" borderId="13" xfId="0" applyNumberFormat="1" applyFont="1" applyFill="1" applyBorder="1" applyAlignment="1">
      <alignment horizontal="right" vertical="top" wrapText="1"/>
    </xf>
    <xf numFmtId="4" fontId="4" fillId="39" borderId="17" xfId="0" applyNumberFormat="1" applyFont="1" applyFill="1" applyBorder="1" applyAlignment="1">
      <alignment horizontal="left" vertical="top" wrapText="1"/>
    </xf>
    <xf numFmtId="4" fontId="3" fillId="34" borderId="18" xfId="0" applyNumberFormat="1" applyFont="1" applyFill="1" applyBorder="1" applyAlignment="1">
      <alignment horizontal="right" vertical="top" wrapText="1"/>
    </xf>
    <xf numFmtId="4" fontId="0" fillId="35" borderId="19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3" fillId="25" borderId="0" xfId="0" applyNumberFormat="1" applyFont="1" applyFill="1" applyAlignment="1">
      <alignment horizontal="left" vertical="top" wrapText="1"/>
    </xf>
    <xf numFmtId="4" fontId="3" fillId="25" borderId="0" xfId="0" applyNumberFormat="1" applyFont="1" applyFill="1" applyAlignment="1">
      <alignment horizontal="right"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" fontId="4" fillId="8" borderId="10" xfId="0" applyNumberFormat="1" applyFont="1" applyFill="1" applyBorder="1" applyAlignment="1">
      <alignment horizontal="left" vertical="top" wrapText="1"/>
    </xf>
    <xf numFmtId="4" fontId="3" fillId="35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3" fontId="3" fillId="36" borderId="10" xfId="0" applyNumberFormat="1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right" vertical="top" wrapText="1"/>
    </xf>
    <xf numFmtId="0" fontId="10" fillId="36" borderId="10" xfId="0" applyFont="1" applyFill="1" applyBorder="1" applyAlignment="1">
      <alignment horizontal="left" vertical="top" wrapText="1"/>
    </xf>
    <xf numFmtId="4" fontId="10" fillId="36" borderId="10" xfId="0" applyNumberFormat="1" applyFont="1" applyFill="1" applyBorder="1" applyAlignment="1">
      <alignment horizontal="left" vertical="top" wrapText="1"/>
    </xf>
    <xf numFmtId="182" fontId="10" fillId="36" borderId="10" xfId="0" applyNumberFormat="1" applyFont="1" applyFill="1" applyBorder="1" applyAlignment="1">
      <alignment horizontal="left" vertical="top" wrapText="1"/>
    </xf>
    <xf numFmtId="182" fontId="10" fillId="36" borderId="15" xfId="0" applyNumberFormat="1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vertical="top" wrapText="1"/>
    </xf>
    <xf numFmtId="4" fontId="10" fillId="36" borderId="10" xfId="0" applyNumberFormat="1" applyFont="1" applyFill="1" applyBorder="1" applyAlignment="1">
      <alignment horizontal="right" vertical="top" wrapText="1"/>
    </xf>
    <xf numFmtId="4" fontId="10" fillId="36" borderId="12" xfId="0" applyNumberFormat="1" applyFont="1" applyFill="1" applyBorder="1" applyAlignment="1">
      <alignment horizontal="right" vertical="top" wrapText="1"/>
    </xf>
    <xf numFmtId="4" fontId="10" fillId="37" borderId="18" xfId="0" applyNumberFormat="1" applyFont="1" applyFill="1" applyBorder="1" applyAlignment="1">
      <alignment horizontal="right" vertical="top" wrapText="1"/>
    </xf>
    <xf numFmtId="4" fontId="10" fillId="36" borderId="13" xfId="0" applyNumberFormat="1" applyFont="1" applyFill="1" applyBorder="1" applyAlignment="1">
      <alignment horizontal="right" vertical="top" wrapText="1"/>
    </xf>
    <xf numFmtId="4" fontId="10" fillId="36" borderId="10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horizontal="left" vertical="top" wrapText="1"/>
    </xf>
    <xf numFmtId="0" fontId="7" fillId="40" borderId="15" xfId="0" applyFont="1" applyFill="1" applyBorder="1" applyAlignment="1">
      <alignment vertical="top" wrapText="1"/>
    </xf>
    <xf numFmtId="0" fontId="7" fillId="40" borderId="20" xfId="0" applyFont="1" applyFill="1" applyBorder="1" applyAlignment="1">
      <alignment vertical="top" wrapText="1"/>
    </xf>
    <xf numFmtId="0" fontId="7" fillId="8" borderId="21" xfId="0" applyFont="1" applyFill="1" applyBorder="1" applyAlignment="1">
      <alignment vertical="top" wrapText="1"/>
    </xf>
    <xf numFmtId="0" fontId="7" fillId="40" borderId="16" xfId="0" applyFont="1" applyFill="1" applyBorder="1" applyAlignment="1">
      <alignment vertical="top" wrapText="1"/>
    </xf>
    <xf numFmtId="0" fontId="7" fillId="40" borderId="10" xfId="0" applyFont="1" applyFill="1" applyBorder="1" applyAlignment="1">
      <alignment vertical="top" wrapText="1"/>
    </xf>
    <xf numFmtId="0" fontId="7" fillId="8" borderId="10" xfId="0" applyFont="1" applyFill="1" applyBorder="1" applyAlignment="1">
      <alignment vertical="top" wrapText="1"/>
    </xf>
    <xf numFmtId="0" fontId="10" fillId="40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3" fontId="3" fillId="36" borderId="10" xfId="0" applyNumberFormat="1" applyFont="1" applyFill="1" applyBorder="1" applyAlignment="1">
      <alignment horizontal="right" vertical="top" wrapText="1"/>
    </xf>
    <xf numFmtId="4" fontId="3" fillId="8" borderId="10" xfId="0" applyNumberFormat="1" applyFont="1" applyFill="1" applyBorder="1" applyAlignment="1">
      <alignment horizontal="left" vertical="top" wrapText="1"/>
    </xf>
    <xf numFmtId="14" fontId="3" fillId="36" borderId="10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3" fillId="3" borderId="10" xfId="0" applyNumberFormat="1" applyFont="1" applyFill="1" applyBorder="1" applyAlignment="1">
      <alignment vertical="top" wrapText="1"/>
    </xf>
    <xf numFmtId="17" fontId="3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4" fontId="1" fillId="1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36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left" vertical="top" wrapText="1"/>
    </xf>
    <xf numFmtId="3" fontId="0" fillId="35" borderId="10" xfId="0" applyNumberFormat="1" applyFont="1" applyFill="1" applyBorder="1" applyAlignment="1">
      <alignment horizontal="center" vertical="top" wrapText="1"/>
    </xf>
    <xf numFmtId="4" fontId="0" fillId="35" borderId="11" xfId="0" applyNumberFormat="1" applyFont="1" applyFill="1" applyBorder="1" applyAlignment="1">
      <alignment horizontal="right" vertical="top" wrapText="1"/>
    </xf>
    <xf numFmtId="3" fontId="0" fillId="35" borderId="11" xfId="0" applyNumberFormat="1" applyFont="1" applyFill="1" applyBorder="1" applyAlignment="1">
      <alignment horizontal="center" vertical="top" wrapText="1"/>
    </xf>
    <xf numFmtId="3" fontId="0" fillId="35" borderId="10" xfId="0" applyNumberFormat="1" applyFont="1" applyFill="1" applyBorder="1" applyAlignment="1">
      <alignment horizontal="right" vertical="top" wrapText="1"/>
    </xf>
    <xf numFmtId="14" fontId="0" fillId="35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1" fillId="40" borderId="10" xfId="0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181" fontId="12" fillId="0" borderId="10" xfId="0" applyNumberFormat="1" applyFont="1" applyFill="1" applyBorder="1" applyAlignment="1">
      <alignment horizontal="left" vertical="top" wrapText="1"/>
    </xf>
    <xf numFmtId="4" fontId="12" fillId="4" borderId="10" xfId="0" applyNumberFormat="1" applyFont="1" applyFill="1" applyBorder="1" applyAlignment="1">
      <alignment horizontal="left" vertical="top" wrapText="1"/>
    </xf>
    <xf numFmtId="182" fontId="12" fillId="33" borderId="10" xfId="0" applyNumberFormat="1" applyFont="1" applyFill="1" applyBorder="1" applyAlignment="1">
      <alignment horizontal="left" vertical="top" wrapText="1"/>
    </xf>
    <xf numFmtId="182" fontId="12" fillId="37" borderId="10" xfId="0" applyNumberFormat="1" applyFont="1" applyFill="1" applyBorder="1" applyAlignment="1">
      <alignment horizontal="left" vertical="top" wrapText="1"/>
    </xf>
    <xf numFmtId="4" fontId="12" fillId="36" borderId="10" xfId="0" applyNumberFormat="1" applyFont="1" applyFill="1" applyBorder="1" applyAlignment="1">
      <alignment horizontal="left" vertical="top" wrapText="1"/>
    </xf>
    <xf numFmtId="4" fontId="12" fillId="35" borderId="10" xfId="0" applyNumberFormat="1" applyFont="1" applyFill="1" applyBorder="1" applyAlignment="1">
      <alignment horizontal="left" vertical="top" wrapText="1"/>
    </xf>
    <xf numFmtId="3" fontId="3" fillId="2" borderId="11" xfId="0" applyNumberFormat="1" applyFont="1" applyFill="1" applyBorder="1" applyAlignment="1">
      <alignment horizontal="left" vertical="top" wrapText="1"/>
    </xf>
    <xf numFmtId="191" fontId="3" fillId="2" borderId="11" xfId="0" applyNumberFormat="1" applyFont="1" applyFill="1" applyBorder="1" applyAlignment="1">
      <alignment horizontal="left" vertical="top" wrapText="1"/>
    </xf>
    <xf numFmtId="14" fontId="3" fillId="2" borderId="11" xfId="0" applyNumberFormat="1" applyFont="1" applyFill="1" applyBorder="1" applyAlignment="1">
      <alignment horizontal="left" vertical="top" wrapText="1"/>
    </xf>
    <xf numFmtId="4" fontId="3" fillId="2" borderId="11" xfId="0" applyNumberFormat="1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left" vertical="top" wrapText="1"/>
    </xf>
    <xf numFmtId="191" fontId="3" fillId="2" borderId="10" xfId="0" applyNumberFormat="1" applyFont="1" applyFill="1" applyBorder="1" applyAlignment="1">
      <alignment horizontal="left" vertical="top" wrapText="1"/>
    </xf>
    <xf numFmtId="14" fontId="3" fillId="2" borderId="10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left" vertical="top" wrapText="1"/>
    </xf>
    <xf numFmtId="191" fontId="3" fillId="36" borderId="10" xfId="0" applyNumberFormat="1" applyFont="1" applyFill="1" applyBorder="1" applyAlignment="1">
      <alignment horizontal="left" vertical="top" wrapText="1"/>
    </xf>
    <xf numFmtId="14" fontId="3" fillId="36" borderId="10" xfId="0" applyNumberFormat="1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horizontal="left" vertical="top" wrapText="1"/>
    </xf>
    <xf numFmtId="191" fontId="3" fillId="37" borderId="10" xfId="0" applyNumberFormat="1" applyFont="1" applyFill="1" applyBorder="1" applyAlignment="1">
      <alignment horizontal="left" vertical="top" wrapText="1"/>
    </xf>
    <xf numFmtId="14" fontId="3" fillId="37" borderId="10" xfId="0" applyNumberFormat="1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191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4" fontId="3" fillId="33" borderId="0" xfId="0" applyNumberFormat="1" applyFont="1" applyFill="1" applyAlignment="1">
      <alignment horizontal="right" vertical="top" wrapText="1"/>
    </xf>
    <xf numFmtId="4" fontId="3" fillId="33" borderId="0" xfId="0" applyNumberFormat="1" applyFont="1" applyFill="1" applyAlignment="1">
      <alignment horizontal="left" vertical="top" wrapText="1"/>
    </xf>
    <xf numFmtId="4" fontId="4" fillId="33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" fontId="48" fillId="33" borderId="0" xfId="0" applyNumberFormat="1" applyFont="1" applyFill="1" applyBorder="1" applyAlignment="1">
      <alignment horizontal="left" vertical="top" wrapText="1"/>
    </xf>
    <xf numFmtId="4" fontId="3" fillId="34" borderId="12" xfId="0" applyNumberFormat="1" applyFont="1" applyFill="1" applyBorder="1" applyAlignment="1">
      <alignment horizontal="left" vertical="top" wrapText="1"/>
    </xf>
    <xf numFmtId="4" fontId="3" fillId="37" borderId="12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17" fontId="48" fillId="33" borderId="0" xfId="0" applyNumberFormat="1" applyFont="1" applyFill="1" applyBorder="1" applyAlignment="1">
      <alignment horizontal="left" vertical="top" wrapText="1"/>
    </xf>
    <xf numFmtId="4" fontId="48" fillId="33" borderId="0" xfId="0" applyNumberFormat="1" applyFont="1" applyFill="1" applyBorder="1" applyAlignment="1">
      <alignment vertical="top" wrapText="1"/>
    </xf>
    <xf numFmtId="191" fontId="48" fillId="33" borderId="0" xfId="0" applyNumberFormat="1" applyFont="1" applyFill="1" applyBorder="1" applyAlignment="1">
      <alignment horizontal="left" vertical="top" wrapText="1"/>
    </xf>
    <xf numFmtId="49" fontId="48" fillId="33" borderId="0" xfId="0" applyNumberFormat="1" applyFont="1" applyFill="1" applyBorder="1" applyAlignment="1">
      <alignment horizontal="left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4" fontId="5" fillId="36" borderId="10" xfId="0" applyNumberFormat="1" applyFont="1" applyFill="1" applyBorder="1" applyAlignment="1">
      <alignment vertical="top" wrapText="1"/>
    </xf>
    <xf numFmtId="4" fontId="3" fillId="3" borderId="12" xfId="0" applyNumberFormat="1" applyFont="1" applyFill="1" applyBorder="1" applyAlignment="1">
      <alignment horizontal="left" vertical="top" wrapText="1"/>
    </xf>
    <xf numFmtId="4" fontId="5" fillId="35" borderId="12" xfId="0" applyNumberFormat="1" applyFont="1" applyFill="1" applyBorder="1" applyAlignment="1">
      <alignment horizontal="left" vertical="top" wrapText="1"/>
    </xf>
    <xf numFmtId="4" fontId="3" fillId="34" borderId="17" xfId="0" applyNumberFormat="1" applyFont="1" applyFill="1" applyBorder="1" applyAlignment="1">
      <alignment horizontal="center" vertical="top" wrapText="1"/>
    </xf>
    <xf numFmtId="4" fontId="3" fillId="34" borderId="22" xfId="0" applyNumberFormat="1" applyFont="1" applyFill="1" applyBorder="1" applyAlignment="1">
      <alignment horizontal="center" vertical="top" wrapText="1"/>
    </xf>
    <xf numFmtId="4" fontId="4" fillId="34" borderId="22" xfId="0" applyNumberFormat="1" applyFont="1" applyFill="1" applyBorder="1" applyAlignment="1">
      <alignment horizontal="center" vertical="top" wrapText="1"/>
    </xf>
    <xf numFmtId="4" fontId="3" fillId="34" borderId="23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left" vertical="top" wrapText="1"/>
    </xf>
    <xf numFmtId="4" fontId="3" fillId="35" borderId="24" xfId="0" applyNumberFormat="1" applyFont="1" applyFill="1" applyBorder="1" applyAlignment="1">
      <alignment horizontal="left" vertical="top" wrapText="1"/>
    </xf>
    <xf numFmtId="4" fontId="48" fillId="35" borderId="24" xfId="0" applyNumberFormat="1" applyFont="1" applyFill="1" applyBorder="1" applyAlignment="1">
      <alignment horizontal="left" vertical="top" wrapText="1"/>
    </xf>
    <xf numFmtId="4" fontId="3" fillId="33" borderId="18" xfId="0" applyNumberFormat="1" applyFont="1" applyFill="1" applyBorder="1" applyAlignment="1">
      <alignment vertical="top" wrapText="1"/>
    </xf>
    <xf numFmtId="4" fontId="3" fillId="34" borderId="19" xfId="0" applyNumberFormat="1" applyFont="1" applyFill="1" applyBorder="1" applyAlignment="1">
      <alignment vertical="top" wrapText="1"/>
    </xf>
    <xf numFmtId="4" fontId="3" fillId="34" borderId="25" xfId="0" applyNumberFormat="1" applyFont="1" applyFill="1" applyBorder="1" applyAlignment="1">
      <alignment vertical="top" wrapText="1"/>
    </xf>
    <xf numFmtId="4" fontId="4" fillId="34" borderId="25" xfId="0" applyNumberFormat="1" applyFont="1" applyFill="1" applyBorder="1" applyAlignment="1">
      <alignment vertical="top" wrapText="1"/>
    </xf>
    <xf numFmtId="4" fontId="3" fillId="34" borderId="26" xfId="0" applyNumberFormat="1" applyFont="1" applyFill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4" fontId="5" fillId="0" borderId="28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8" fillId="0" borderId="27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48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18"/>
  <sheetViews>
    <sheetView view="pageBreakPreview" zoomScaleSheetLayoutView="100" zoomScalePageLayoutView="0" workbookViewId="0" topLeftCell="HO33">
      <selection activeCell="ID55" sqref="ID55"/>
    </sheetView>
  </sheetViews>
  <sheetFormatPr defaultColWidth="9.140625" defaultRowHeight="12.75"/>
  <cols>
    <col min="1" max="1" width="9.28125" style="6" hidden="1" customWidth="1"/>
    <col min="2" max="2" width="23.57421875" style="6" hidden="1" customWidth="1"/>
    <col min="3" max="3" width="0" style="6" hidden="1" customWidth="1"/>
    <col min="4" max="10" width="9.28125" style="6" hidden="1" customWidth="1"/>
    <col min="11" max="11" width="10.57421875" style="6" hidden="1" customWidth="1"/>
    <col min="12" max="13" width="10.00390625" style="6" hidden="1" customWidth="1"/>
    <col min="14" max="14" width="11.57421875" style="6" hidden="1" customWidth="1"/>
    <col min="15" max="15" width="17.140625" style="6" hidden="1" customWidth="1"/>
    <col min="16" max="16" width="16.7109375" style="6" hidden="1" customWidth="1"/>
    <col min="17" max="17" width="9.140625" style="6" customWidth="1"/>
    <col min="18" max="18" width="28.140625" style="6" customWidth="1"/>
    <col min="19" max="19" width="14.57421875" style="6" bestFit="1" customWidth="1"/>
    <col min="20" max="20" width="13.421875" style="6" customWidth="1"/>
    <col min="21" max="21" width="12.00390625" style="6" customWidth="1"/>
    <col min="22" max="22" width="13.28125" style="6" customWidth="1"/>
    <col min="23" max="23" width="15.57421875" style="6" customWidth="1"/>
    <col min="24" max="24" width="14.8515625" style="6" customWidth="1"/>
    <col min="25" max="25" width="20.57421875" style="6" customWidth="1"/>
    <col min="26" max="26" width="13.421875" style="6" customWidth="1"/>
    <col min="27" max="27" width="10.8515625" style="6" customWidth="1"/>
    <col min="28" max="28" width="9.28125" style="6" bestFit="1" customWidth="1"/>
    <col min="29" max="29" width="13.00390625" style="6" customWidth="1"/>
    <col min="30" max="31" width="9.421875" style="6" bestFit="1" customWidth="1"/>
    <col min="32" max="32" width="11.7109375" style="6" customWidth="1"/>
    <col min="33" max="33" width="15.28125" style="6" customWidth="1"/>
    <col min="34" max="34" width="10.7109375" style="6" customWidth="1"/>
    <col min="35" max="36" width="12.7109375" style="6" customWidth="1"/>
    <col min="37" max="37" width="12.140625" style="6" customWidth="1"/>
    <col min="38" max="38" width="25.57421875" style="6" customWidth="1"/>
    <col min="39" max="39" width="9.140625" style="6" customWidth="1"/>
    <col min="40" max="40" width="13.7109375" style="6" customWidth="1"/>
    <col min="41" max="41" width="13.00390625" style="6" customWidth="1"/>
    <col min="42" max="42" width="12.421875" style="6" customWidth="1"/>
    <col min="43" max="46" width="9.28125" style="6" bestFit="1" customWidth="1"/>
    <col min="47" max="47" width="9.8515625" style="6" customWidth="1"/>
    <col min="48" max="51" width="9.421875" style="6" bestFit="1" customWidth="1"/>
    <col min="52" max="52" width="13.28125" style="6" customWidth="1"/>
    <col min="53" max="53" width="9.140625" style="6" customWidth="1"/>
    <col min="54" max="54" width="13.421875" style="6" customWidth="1"/>
    <col min="55" max="55" width="9.140625" style="6" customWidth="1"/>
    <col min="56" max="56" width="24.421875" style="6" customWidth="1"/>
    <col min="57" max="58" width="9.140625" style="6" customWidth="1"/>
    <col min="59" max="59" width="9.28125" style="6" bestFit="1" customWidth="1"/>
    <col min="60" max="60" width="11.28125" style="6" customWidth="1"/>
    <col min="61" max="64" width="9.28125" style="6" bestFit="1" customWidth="1"/>
    <col min="65" max="65" width="10.8515625" style="6" customWidth="1"/>
    <col min="66" max="70" width="9.421875" style="6" bestFit="1" customWidth="1"/>
    <col min="71" max="71" width="12.8515625" style="6" customWidth="1"/>
    <col min="72" max="72" width="11.28125" style="6" customWidth="1"/>
    <col min="73" max="73" width="4.57421875" style="6" customWidth="1"/>
    <col min="74" max="74" width="24.421875" style="6" customWidth="1"/>
    <col min="75" max="76" width="9.140625" style="6" customWidth="1"/>
    <col min="77" max="83" width="9.28125" style="6" bestFit="1" customWidth="1"/>
    <col min="84" max="88" width="9.421875" style="6" bestFit="1" customWidth="1"/>
    <col min="89" max="89" width="10.8515625" style="6" customWidth="1"/>
    <col min="90" max="90" width="12.00390625" style="6" customWidth="1"/>
    <col min="91" max="91" width="9.140625" style="6" customWidth="1"/>
    <col min="92" max="92" width="27.57421875" style="6" customWidth="1"/>
    <col min="93" max="94" width="9.140625" style="6" customWidth="1"/>
    <col min="95" max="96" width="9.28125" style="6" bestFit="1" customWidth="1"/>
    <col min="97" max="100" width="9.140625" style="6" hidden="1" customWidth="1"/>
    <col min="101" max="101" width="10.140625" style="6" bestFit="1" customWidth="1"/>
    <col min="102" max="106" width="9.421875" style="6" bestFit="1" customWidth="1"/>
    <col min="107" max="107" width="10.7109375" style="99" customWidth="1"/>
    <col min="108" max="108" width="16.421875" style="6" customWidth="1"/>
    <col min="109" max="109" width="6.8515625" style="6" customWidth="1"/>
    <col min="110" max="110" width="27.421875" style="6" customWidth="1"/>
    <col min="111" max="111" width="10.140625" style="6" customWidth="1"/>
    <col min="112" max="112" width="13.8515625" style="6" customWidth="1"/>
    <col min="113" max="113" width="10.28125" style="6" customWidth="1"/>
    <col min="114" max="114" width="11.28125" style="6" customWidth="1"/>
    <col min="115" max="118" width="0" style="6" hidden="1" customWidth="1"/>
    <col min="119" max="119" width="13.00390625" style="6" customWidth="1"/>
    <col min="120" max="122" width="9.421875" style="6" bestFit="1" customWidth="1"/>
    <col min="123" max="123" width="10.140625" style="6" bestFit="1" customWidth="1"/>
    <col min="124" max="124" width="9.421875" style="6" bestFit="1" customWidth="1"/>
    <col min="125" max="125" width="10.57421875" style="6" customWidth="1"/>
    <col min="126" max="126" width="15.57421875" style="6" customWidth="1"/>
    <col min="127" max="127" width="9.140625" style="6" customWidth="1"/>
    <col min="128" max="128" width="33.00390625" style="6" customWidth="1"/>
    <col min="129" max="136" width="9.140625" style="6" customWidth="1"/>
    <col min="137" max="137" width="10.140625" style="6" bestFit="1" customWidth="1"/>
    <col min="138" max="142" width="9.28125" style="6" bestFit="1" customWidth="1"/>
    <col min="143" max="143" width="9.140625" style="6" customWidth="1"/>
    <col min="144" max="144" width="22.28125" style="6" customWidth="1"/>
    <col min="145" max="145" width="6.8515625" style="6" customWidth="1"/>
    <col min="146" max="146" width="30.7109375" style="6" customWidth="1"/>
    <col min="147" max="148" width="9.140625" style="6" customWidth="1"/>
    <col min="149" max="149" width="9.28125" style="6" bestFit="1" customWidth="1"/>
    <col min="150" max="154" width="9.140625" style="6" customWidth="1"/>
    <col min="155" max="155" width="10.140625" style="6" bestFit="1" customWidth="1"/>
    <col min="156" max="160" width="9.28125" style="6" bestFit="1" customWidth="1"/>
    <col min="161" max="161" width="9.140625" style="6" customWidth="1"/>
    <col min="162" max="162" width="22.140625" style="6" customWidth="1"/>
    <col min="163" max="163" width="9.140625" style="6" customWidth="1"/>
    <col min="164" max="164" width="23.00390625" style="6" customWidth="1"/>
    <col min="165" max="172" width="9.140625" style="6" customWidth="1"/>
    <col min="173" max="173" width="10.140625" style="6" bestFit="1" customWidth="1"/>
    <col min="174" max="180" width="9.28125" style="6" bestFit="1" customWidth="1"/>
    <col min="181" max="181" width="11.7109375" style="6" customWidth="1"/>
    <col min="182" max="182" width="12.8515625" style="6" customWidth="1"/>
    <col min="183" max="183" width="9.140625" style="6" customWidth="1"/>
    <col min="184" max="184" width="30.8515625" style="6" customWidth="1"/>
    <col min="185" max="185" width="9.140625" style="6" customWidth="1"/>
    <col min="186" max="187" width="11.7109375" style="6" customWidth="1"/>
    <col min="188" max="188" width="13.140625" style="6" customWidth="1"/>
    <col min="189" max="192" width="9.140625" style="6" customWidth="1"/>
    <col min="193" max="193" width="10.7109375" style="6" customWidth="1"/>
    <col min="194" max="200" width="9.28125" style="6" bestFit="1" customWidth="1"/>
    <col min="201" max="201" width="9.140625" style="6" customWidth="1"/>
    <col min="202" max="202" width="16.8515625" style="6" customWidth="1"/>
    <col min="203" max="203" width="5.28125" style="6" customWidth="1"/>
    <col min="204" max="204" width="32.7109375" style="6" customWidth="1"/>
    <col min="205" max="205" width="9.140625" style="6" customWidth="1"/>
    <col min="206" max="207" width="13.00390625" style="6" customWidth="1"/>
    <col min="208" max="208" width="10.8515625" style="6" customWidth="1"/>
    <col min="209" max="212" width="9.28125" style="6" bestFit="1" customWidth="1"/>
    <col min="213" max="213" width="10.8515625" style="6" customWidth="1"/>
    <col min="214" max="216" width="9.28125" style="6" bestFit="1" customWidth="1"/>
    <col min="217" max="217" width="9.8515625" style="6" customWidth="1"/>
    <col min="218" max="221" width="9.28125" style="6" bestFit="1" customWidth="1"/>
    <col min="222" max="222" width="14.8515625" style="6" customWidth="1"/>
    <col min="223" max="223" width="7.57421875" style="6" customWidth="1"/>
    <col min="224" max="224" width="28.28125" style="6" customWidth="1"/>
    <col min="225" max="241" width="9.140625" style="6" customWidth="1"/>
    <col min="242" max="242" width="14.7109375" style="6" customWidth="1"/>
    <col min="243" max="16384" width="9.140625" style="6" customWidth="1"/>
  </cols>
  <sheetData>
    <row r="1" spans="17:24" ht="32.25" customHeight="1">
      <c r="Q1" s="220" t="s">
        <v>112</v>
      </c>
      <c r="R1" s="220"/>
      <c r="S1" s="220"/>
      <c r="T1" s="220"/>
      <c r="U1" s="220"/>
      <c r="V1" s="220"/>
      <c r="W1" s="220"/>
      <c r="X1" s="220"/>
    </row>
    <row r="2" spans="17:40" ht="46.5" customHeight="1">
      <c r="Q2" s="11"/>
      <c r="R2" s="11" t="s">
        <v>30</v>
      </c>
      <c r="S2" s="11" t="s">
        <v>2</v>
      </c>
      <c r="T2" s="11" t="s">
        <v>27</v>
      </c>
      <c r="U2" s="11" t="s">
        <v>94</v>
      </c>
      <c r="V2" s="11" t="s">
        <v>87</v>
      </c>
      <c r="W2" s="11" t="s">
        <v>42</v>
      </c>
      <c r="X2" s="11" t="s">
        <v>88</v>
      </c>
      <c r="Y2" s="221" t="s">
        <v>175</v>
      </c>
      <c r="Z2" s="221"/>
      <c r="AA2" s="221"/>
      <c r="AB2" s="221"/>
      <c r="AC2" s="221" t="s">
        <v>176</v>
      </c>
      <c r="AD2" s="221"/>
      <c r="AE2" s="221"/>
      <c r="AF2" s="221"/>
      <c r="AG2" s="221" t="s">
        <v>179</v>
      </c>
      <c r="AH2" s="221"/>
      <c r="AI2" s="221"/>
      <c r="AJ2" s="221"/>
      <c r="AK2" s="221" t="s">
        <v>187</v>
      </c>
      <c r="AL2" s="221"/>
      <c r="AM2" s="221"/>
      <c r="AN2" s="221"/>
    </row>
    <row r="3" spans="17:40" ht="19.5" customHeight="1">
      <c r="Q3" s="7"/>
      <c r="R3" s="7" t="s">
        <v>160</v>
      </c>
      <c r="S3" s="7" t="s">
        <v>106</v>
      </c>
      <c r="T3" s="7">
        <v>1.76</v>
      </c>
      <c r="U3" s="7"/>
      <c r="V3" s="7"/>
      <c r="W3" s="7"/>
      <c r="X3" s="7"/>
      <c r="Y3" s="132">
        <v>43709</v>
      </c>
      <c r="Z3" s="133" t="s">
        <v>168</v>
      </c>
      <c r="AA3" s="133" t="s">
        <v>169</v>
      </c>
      <c r="AB3" s="131" t="s">
        <v>167</v>
      </c>
      <c r="AC3" s="132">
        <v>43739</v>
      </c>
      <c r="AD3" s="133" t="s">
        <v>168</v>
      </c>
      <c r="AE3" s="133" t="s">
        <v>169</v>
      </c>
      <c r="AF3" s="131" t="s">
        <v>167</v>
      </c>
      <c r="AG3" s="9">
        <v>43770</v>
      </c>
      <c r="AH3" s="7" t="s">
        <v>168</v>
      </c>
      <c r="AI3" s="7" t="s">
        <v>169</v>
      </c>
      <c r="AJ3" s="18" t="s">
        <v>167</v>
      </c>
      <c r="AK3" s="172" t="s">
        <v>188</v>
      </c>
      <c r="AL3" s="7" t="s">
        <v>168</v>
      </c>
      <c r="AM3" s="7" t="s">
        <v>169</v>
      </c>
      <c r="AN3" s="18" t="s">
        <v>167</v>
      </c>
    </row>
    <row r="4" spans="17:40" ht="19.5" customHeight="1">
      <c r="Q4" s="7"/>
      <c r="R4" s="7" t="s">
        <v>81</v>
      </c>
      <c r="S4" s="7" t="s">
        <v>106</v>
      </c>
      <c r="T4" s="7">
        <v>2.82</v>
      </c>
      <c r="U4" s="7"/>
      <c r="V4" s="7"/>
      <c r="W4" s="7"/>
      <c r="X4" s="7"/>
      <c r="Y4" s="14" t="s">
        <v>161</v>
      </c>
      <c r="Z4" s="14">
        <v>5200</v>
      </c>
      <c r="AA4" s="14">
        <v>2.9</v>
      </c>
      <c r="AB4" s="18">
        <f>Z4*AA4</f>
        <v>15080</v>
      </c>
      <c r="AC4" s="14" t="s">
        <v>161</v>
      </c>
      <c r="AD4" s="14">
        <v>8400</v>
      </c>
      <c r="AE4" s="14">
        <v>2.9</v>
      </c>
      <c r="AF4" s="18">
        <f>AD4*AE4</f>
        <v>24360</v>
      </c>
      <c r="AG4" s="7" t="s">
        <v>161</v>
      </c>
      <c r="AH4" s="7">
        <v>9800</v>
      </c>
      <c r="AI4" s="7">
        <v>2.9</v>
      </c>
      <c r="AJ4" s="18">
        <f>AH4*AI4</f>
        <v>28420</v>
      </c>
      <c r="AK4" s="7" t="s">
        <v>161</v>
      </c>
      <c r="AL4" s="7">
        <v>12193.47</v>
      </c>
      <c r="AM4" s="7">
        <v>2.9</v>
      </c>
      <c r="AN4" s="18">
        <f>AL4*AM4</f>
        <v>35361.062999999995</v>
      </c>
    </row>
    <row r="5" spans="17:40" ht="19.5" customHeight="1">
      <c r="Q5" s="7"/>
      <c r="R5" s="7" t="s">
        <v>160</v>
      </c>
      <c r="S5" s="7" t="s">
        <v>107</v>
      </c>
      <c r="T5" s="7">
        <v>1.81</v>
      </c>
      <c r="U5" s="7"/>
      <c r="V5" s="7"/>
      <c r="W5" s="7"/>
      <c r="X5" s="7"/>
      <c r="Y5" s="13" t="s">
        <v>166</v>
      </c>
      <c r="Z5" s="13">
        <f>(161-30)*110-15460.59</f>
        <v>-1050.5900000000001</v>
      </c>
      <c r="AA5" s="13">
        <f>2.9-1.81</f>
        <v>1.0899999999999999</v>
      </c>
      <c r="AB5" s="13">
        <f>Z5*AA5</f>
        <v>-1145.1431</v>
      </c>
      <c r="AC5" s="13" t="s">
        <v>166</v>
      </c>
      <c r="AD5" s="13">
        <v>-3300</v>
      </c>
      <c r="AE5" s="13">
        <f>2.9-1.81</f>
        <v>1.0899999999999999</v>
      </c>
      <c r="AF5" s="13">
        <f>AD5*AE5</f>
        <v>-3596.9999999999995</v>
      </c>
      <c r="AG5" s="13" t="s">
        <v>166</v>
      </c>
      <c r="AH5" s="13">
        <v>-3300</v>
      </c>
      <c r="AI5" s="13">
        <f>2.9-1.81</f>
        <v>1.0899999999999999</v>
      </c>
      <c r="AJ5" s="13">
        <f>AH5*AI5</f>
        <v>-3596.9999999999995</v>
      </c>
      <c r="AK5" s="13" t="s">
        <v>166</v>
      </c>
      <c r="AL5" s="13">
        <v>-3300</v>
      </c>
      <c r="AM5" s="13">
        <v>1.0899999999999999</v>
      </c>
      <c r="AN5" s="13">
        <f>AL5*AM5</f>
        <v>-3596.9999999999995</v>
      </c>
    </row>
    <row r="6" spans="17:40" ht="19.5" customHeight="1">
      <c r="Q6" s="7"/>
      <c r="R6" s="7" t="s">
        <v>81</v>
      </c>
      <c r="S6" s="7" t="s">
        <v>107</v>
      </c>
      <c r="T6" s="7">
        <v>2.9</v>
      </c>
      <c r="U6" s="7"/>
      <c r="V6" s="7"/>
      <c r="W6" s="7"/>
      <c r="X6" s="7"/>
      <c r="Y6" s="14" t="s">
        <v>172</v>
      </c>
      <c r="Z6" s="14" t="s">
        <v>162</v>
      </c>
      <c r="AA6" s="14" t="s">
        <v>162</v>
      </c>
      <c r="AB6" s="18">
        <f>SUM(AB4:AB5)</f>
        <v>13934.8569</v>
      </c>
      <c r="AC6" s="14" t="s">
        <v>172</v>
      </c>
      <c r="AD6" s="14" t="s">
        <v>162</v>
      </c>
      <c r="AE6" s="14" t="s">
        <v>162</v>
      </c>
      <c r="AF6" s="18">
        <f>SUM(AF4:AF5)</f>
        <v>20763</v>
      </c>
      <c r="AG6" s="7" t="s">
        <v>172</v>
      </c>
      <c r="AH6" s="7" t="s">
        <v>162</v>
      </c>
      <c r="AI6" s="7" t="s">
        <v>162</v>
      </c>
      <c r="AJ6" s="18">
        <f>SUM(AJ4:AJ5)</f>
        <v>24823</v>
      </c>
      <c r="AK6" s="7" t="s">
        <v>172</v>
      </c>
      <c r="AL6" s="7" t="s">
        <v>162</v>
      </c>
      <c r="AM6" s="7" t="s">
        <v>162</v>
      </c>
      <c r="AN6" s="18">
        <f>AN4+AN5</f>
        <v>31764.062999999995</v>
      </c>
    </row>
    <row r="7" spans="17:24" ht="19.5" customHeight="1">
      <c r="Q7" s="11"/>
      <c r="R7" s="11" t="s">
        <v>92</v>
      </c>
      <c r="S7" s="23">
        <v>43465</v>
      </c>
      <c r="T7" s="11">
        <v>267800</v>
      </c>
      <c r="U7" s="11"/>
      <c r="V7" s="11"/>
      <c r="W7" s="11"/>
      <c r="X7" s="11"/>
    </row>
    <row r="8" spans="17:24" ht="19.5" customHeight="1">
      <c r="Q8" s="12">
        <v>1</v>
      </c>
      <c r="R8" s="9">
        <v>43466</v>
      </c>
      <c r="S8" s="8">
        <v>43496</v>
      </c>
      <c r="T8" s="14">
        <v>284700</v>
      </c>
      <c r="U8" s="7">
        <f aca="true" t="shared" si="0" ref="U8:U20">T8-T7</f>
        <v>16900</v>
      </c>
      <c r="V8" s="7">
        <f>V37/U37*100</f>
        <v>13.469272655247943</v>
      </c>
      <c r="W8" s="7" t="s">
        <v>32</v>
      </c>
      <c r="X8" s="7">
        <f>V8</f>
        <v>13.469272655247943</v>
      </c>
    </row>
    <row r="9" spans="17:24" ht="19.5" customHeight="1">
      <c r="Q9" s="12">
        <v>1</v>
      </c>
      <c r="R9" s="9" t="s">
        <v>116</v>
      </c>
      <c r="S9" s="8">
        <v>43496</v>
      </c>
      <c r="T9" s="14">
        <v>284400</v>
      </c>
      <c r="U9" s="7">
        <f t="shared" si="0"/>
        <v>-300</v>
      </c>
      <c r="V9" s="7">
        <f>(V37+V38)/(U37+U38)*100</f>
        <v>16.92891144818543</v>
      </c>
      <c r="W9" s="7" t="s">
        <v>32</v>
      </c>
      <c r="X9" s="7">
        <f>V9</f>
        <v>16.92891144818543</v>
      </c>
    </row>
    <row r="10" spans="17:24" ht="19.5" customHeight="1">
      <c r="Q10" s="12">
        <v>2</v>
      </c>
      <c r="R10" s="9">
        <v>43497</v>
      </c>
      <c r="S10" s="8">
        <v>43524</v>
      </c>
      <c r="T10" s="7">
        <v>302600</v>
      </c>
      <c r="U10" s="7">
        <f t="shared" si="0"/>
        <v>18200</v>
      </c>
      <c r="V10" s="7">
        <f aca="true" t="shared" si="1" ref="V10:V20">V39/U39*100</f>
        <v>54.21363333251428</v>
      </c>
      <c r="W10" s="7" t="s">
        <v>32</v>
      </c>
      <c r="X10" s="7">
        <f>(V9+V10)/2</f>
        <v>35.571272390349854</v>
      </c>
    </row>
    <row r="11" spans="17:24" ht="19.5" customHeight="1">
      <c r="Q11" s="12">
        <v>3</v>
      </c>
      <c r="R11" s="9">
        <v>43525</v>
      </c>
      <c r="S11" s="8">
        <v>43552</v>
      </c>
      <c r="T11" s="7">
        <v>310200</v>
      </c>
      <c r="U11" s="7">
        <f t="shared" si="0"/>
        <v>7600</v>
      </c>
      <c r="V11" s="7">
        <f t="shared" si="1"/>
        <v>-29.640183602089287</v>
      </c>
      <c r="W11" s="7" t="s">
        <v>32</v>
      </c>
      <c r="X11" s="7">
        <f>(V9+V10+V11)/3</f>
        <v>13.83412039287014</v>
      </c>
    </row>
    <row r="12" spans="17:30" ht="19.5" customHeight="1">
      <c r="Q12" s="12">
        <v>4</v>
      </c>
      <c r="R12" s="9">
        <v>43556</v>
      </c>
      <c r="S12" s="8">
        <v>43584</v>
      </c>
      <c r="T12" s="7">
        <v>317600</v>
      </c>
      <c r="U12" s="7">
        <f t="shared" si="0"/>
        <v>7400</v>
      </c>
      <c r="V12" s="7">
        <f t="shared" si="1"/>
        <v>5.370476901082369</v>
      </c>
      <c r="W12" s="7" t="s">
        <v>32</v>
      </c>
      <c r="X12" s="7">
        <f>(V9+V10+V11+V12)/4</f>
        <v>11.718209519923198</v>
      </c>
      <c r="Y12" s="130"/>
      <c r="Z12" s="222"/>
      <c r="AA12" s="222"/>
      <c r="AB12" s="222"/>
      <c r="AC12" s="130"/>
      <c r="AD12" s="130"/>
    </row>
    <row r="13" spans="17:30" ht="19.5" customHeight="1">
      <c r="Q13" s="12">
        <v>5</v>
      </c>
      <c r="R13" s="9">
        <v>43586</v>
      </c>
      <c r="S13" s="8">
        <v>43615</v>
      </c>
      <c r="T13" s="7">
        <v>326400</v>
      </c>
      <c r="U13" s="7">
        <f t="shared" si="0"/>
        <v>8800</v>
      </c>
      <c r="V13" s="7">
        <f t="shared" si="1"/>
        <v>43.07337875913104</v>
      </c>
      <c r="W13" s="7" t="s">
        <v>32</v>
      </c>
      <c r="X13" s="7">
        <f>(V9+V10+V11+V12+V13)/5</f>
        <v>17.989243367764765</v>
      </c>
      <c r="Y13" s="130"/>
      <c r="Z13" s="130"/>
      <c r="AA13" s="130"/>
      <c r="AB13" s="130"/>
      <c r="AC13" s="130"/>
      <c r="AD13" s="130"/>
    </row>
    <row r="14" spans="17:30" ht="19.5" customHeight="1">
      <c r="Q14" s="12">
        <v>6</v>
      </c>
      <c r="R14" s="9">
        <v>43617</v>
      </c>
      <c r="S14" s="8">
        <v>43646</v>
      </c>
      <c r="T14" s="7">
        <v>331400</v>
      </c>
      <c r="U14" s="7">
        <f t="shared" si="0"/>
        <v>5000</v>
      </c>
      <c r="V14" s="7">
        <f t="shared" si="1"/>
        <v>-1.8470423569267134</v>
      </c>
      <c r="W14" s="7" t="s">
        <v>32</v>
      </c>
      <c r="X14" s="7">
        <f>(V9+V10+V11+V12+V13+V14)/6</f>
        <v>14.683195746982854</v>
      </c>
      <c r="Y14" s="130"/>
      <c r="Z14" s="130"/>
      <c r="AA14" s="130"/>
      <c r="AB14" s="130"/>
      <c r="AC14" s="130"/>
      <c r="AD14" s="130"/>
    </row>
    <row r="15" spans="17:30" ht="19.5" customHeight="1">
      <c r="Q15" s="12">
        <v>7</v>
      </c>
      <c r="R15" s="9">
        <v>43647</v>
      </c>
      <c r="S15" s="8">
        <v>43675</v>
      </c>
      <c r="T15" s="7">
        <v>337600</v>
      </c>
      <c r="U15" s="7">
        <f t="shared" si="0"/>
        <v>6200</v>
      </c>
      <c r="V15" s="7">
        <f t="shared" si="1"/>
        <v>17.273652393327644</v>
      </c>
      <c r="W15" s="7" t="s">
        <v>32</v>
      </c>
      <c r="X15" s="7">
        <f>(V9+V10+V11+V12+V13+V14+V15)/7</f>
        <v>15.053260982174967</v>
      </c>
      <c r="Y15" s="130"/>
      <c r="Z15" s="130"/>
      <c r="AA15" s="130"/>
      <c r="AB15" s="130"/>
      <c r="AC15" s="130"/>
      <c r="AD15" s="130"/>
    </row>
    <row r="16" spans="17:111" ht="27.75" customHeight="1">
      <c r="Q16" s="12">
        <v>8</v>
      </c>
      <c r="R16" s="9">
        <v>43678</v>
      </c>
      <c r="S16" s="8">
        <v>43708</v>
      </c>
      <c r="T16" s="7">
        <v>344000</v>
      </c>
      <c r="U16" s="7">
        <f t="shared" si="0"/>
        <v>6400</v>
      </c>
      <c r="V16" s="7">
        <f t="shared" si="1"/>
        <v>11.390554429080122</v>
      </c>
      <c r="W16" s="7" t="s">
        <v>32</v>
      </c>
      <c r="X16" s="7">
        <f>(V9+V10+V11+V12+V13+V14+V15+V16)/8</f>
        <v>14.595422663038113</v>
      </c>
      <c r="DC16" s="6"/>
      <c r="DG16" s="99"/>
    </row>
    <row r="17" spans="17:111" ht="19.5" customHeight="1">
      <c r="Q17" s="12">
        <v>9</v>
      </c>
      <c r="R17" s="9">
        <v>43709</v>
      </c>
      <c r="S17" s="8">
        <v>43731</v>
      </c>
      <c r="T17" s="7">
        <v>349200</v>
      </c>
      <c r="U17" s="7">
        <f t="shared" si="0"/>
        <v>5200</v>
      </c>
      <c r="V17" s="7">
        <f t="shared" si="1"/>
        <v>0.7482494991648612</v>
      </c>
      <c r="W17" s="7" t="s">
        <v>32</v>
      </c>
      <c r="X17" s="7">
        <f>(V9+V10+V11+V12+V13+V14+V15+V16+V17)/9</f>
        <v>13.056847867052195</v>
      </c>
      <c r="DC17" s="6"/>
      <c r="DG17" s="99"/>
    </row>
    <row r="18" spans="17:111" ht="33" customHeight="1">
      <c r="Q18" s="12">
        <v>10</v>
      </c>
      <c r="R18" s="9">
        <v>43739</v>
      </c>
      <c r="S18" s="8">
        <v>43762</v>
      </c>
      <c r="T18" s="7">
        <v>357600</v>
      </c>
      <c r="U18" s="7">
        <f t="shared" si="0"/>
        <v>8400</v>
      </c>
      <c r="V18" s="7">
        <f t="shared" si="1"/>
        <v>-11.570290565286982</v>
      </c>
      <c r="W18" s="7" t="s">
        <v>32</v>
      </c>
      <c r="X18" s="7">
        <f>(V9+V10+V11+V12+V13+V14+V15+V16+V17+V18)/10</f>
        <v>10.594134023818278</v>
      </c>
      <c r="DC18" s="6"/>
      <c r="DG18" s="99"/>
    </row>
    <row r="19" spans="17:111" ht="19.5" customHeight="1">
      <c r="Q19" s="12">
        <v>11</v>
      </c>
      <c r="R19" s="9">
        <v>43770</v>
      </c>
      <c r="S19" s="8">
        <v>43791</v>
      </c>
      <c r="T19" s="7">
        <v>367400</v>
      </c>
      <c r="U19" s="7">
        <f t="shared" si="0"/>
        <v>9800</v>
      </c>
      <c r="V19" s="7">
        <f t="shared" si="1"/>
        <v>24.510059269329602</v>
      </c>
      <c r="W19" s="7" t="s">
        <v>32</v>
      </c>
      <c r="X19" s="7">
        <f>(V9+V10+V11+V12+V13+V14+V15+V16+V17+V18+V19)/11</f>
        <v>11.85921813704658</v>
      </c>
      <c r="DC19" s="6"/>
      <c r="DG19" s="99"/>
    </row>
    <row r="20" spans="17:24" ht="19.5" customHeight="1">
      <c r="Q20" s="168">
        <v>12</v>
      </c>
      <c r="R20" s="169">
        <v>43800</v>
      </c>
      <c r="S20" s="170">
        <v>43823</v>
      </c>
      <c r="T20" s="15">
        <v>388200</v>
      </c>
      <c r="U20" s="15">
        <f t="shared" si="0"/>
        <v>20800</v>
      </c>
      <c r="V20" s="15">
        <f t="shared" si="1"/>
        <v>91.05302364372972</v>
      </c>
      <c r="W20" s="15" t="s">
        <v>32</v>
      </c>
      <c r="X20" s="15">
        <f>(V9+V10+V11+V12+V13+V14+V15+V16+V17+V18+V19+V20)/12</f>
        <v>18.458701929270173</v>
      </c>
    </row>
    <row r="21" spans="17:24" ht="19.5" customHeight="1">
      <c r="Q21" s="165"/>
      <c r="R21" s="166" t="s">
        <v>184</v>
      </c>
      <c r="S21" s="167"/>
      <c r="T21" s="46"/>
      <c r="U21" s="46">
        <f>U49*1.12</f>
        <v>12193.473600000032</v>
      </c>
      <c r="V21" s="46">
        <f>V50/U50*100</f>
        <v>12.000000000000007</v>
      </c>
      <c r="W21" s="46"/>
      <c r="X21" s="46">
        <f>(V9+V10+V11+V12+V13+V14+V15+V16+V17+V18+V19+V21)/12</f>
        <v>11.870949958959365</v>
      </c>
    </row>
    <row r="22" spans="17:24" ht="19.5" customHeight="1">
      <c r="Q22" s="165"/>
      <c r="R22" s="166" t="s">
        <v>183</v>
      </c>
      <c r="S22" s="167"/>
      <c r="T22" s="46"/>
      <c r="U22" s="46">
        <f>U20-U21</f>
        <v>8606.526399999968</v>
      </c>
      <c r="V22" s="46"/>
      <c r="W22" s="46"/>
      <c r="X22" s="46"/>
    </row>
    <row r="23" spans="17:24" ht="19.5" customHeight="1">
      <c r="Q23" s="24"/>
      <c r="R23" s="25" t="s">
        <v>93</v>
      </c>
      <c r="S23" s="23">
        <v>43465</v>
      </c>
      <c r="T23" s="11">
        <v>331533.48</v>
      </c>
      <c r="U23" s="11"/>
      <c r="V23" s="11"/>
      <c r="W23" s="11"/>
      <c r="X23" s="11"/>
    </row>
    <row r="24" spans="17:24" ht="19.5" customHeight="1">
      <c r="Q24" s="12">
        <v>1</v>
      </c>
      <c r="R24" s="9">
        <v>43466</v>
      </c>
      <c r="S24" s="8">
        <v>43496</v>
      </c>
      <c r="T24" s="7">
        <v>347105.01</v>
      </c>
      <c r="U24" s="7">
        <f aca="true" t="shared" si="2" ref="U24:U35">T24-T23</f>
        <v>15571.530000000028</v>
      </c>
      <c r="V24" s="7">
        <f>(U24-U37)/U37*100</f>
        <v>4.549714983986757</v>
      </c>
      <c r="W24" s="7" t="s">
        <v>31</v>
      </c>
      <c r="X24" s="7">
        <f>V24</f>
        <v>4.549714983986757</v>
      </c>
    </row>
    <row r="25" spans="17:24" ht="19.5" customHeight="1">
      <c r="Q25" s="12">
        <v>2</v>
      </c>
      <c r="R25" s="9">
        <v>43497</v>
      </c>
      <c r="S25" s="8">
        <v>43521</v>
      </c>
      <c r="T25" s="7">
        <v>361045.29</v>
      </c>
      <c r="U25" s="7">
        <f t="shared" si="2"/>
        <v>13940.27999999997</v>
      </c>
      <c r="V25" s="7">
        <f aca="true" t="shared" si="3" ref="V25:V35">(U25-U39)/U39*100</f>
        <v>18.119847718273487</v>
      </c>
      <c r="W25" s="7" t="s">
        <v>31</v>
      </c>
      <c r="X25" s="7">
        <f>(V24+V25)/2</f>
        <v>11.334781351130122</v>
      </c>
    </row>
    <row r="26" spans="17:24" ht="19.5" customHeight="1">
      <c r="Q26" s="12">
        <v>3</v>
      </c>
      <c r="R26" s="9">
        <v>43525</v>
      </c>
      <c r="S26" s="8">
        <v>43555</v>
      </c>
      <c r="T26" s="7">
        <v>372808.44</v>
      </c>
      <c r="U26" s="7">
        <f t="shared" si="2"/>
        <v>11763.150000000023</v>
      </c>
      <c r="V26" s="7">
        <f t="shared" si="3"/>
        <v>8.901720297511192</v>
      </c>
      <c r="W26" s="7" t="s">
        <v>31</v>
      </c>
      <c r="X26" s="7">
        <f>(V24+V25+V26)/3</f>
        <v>10.52376099992381</v>
      </c>
    </row>
    <row r="27" spans="17:24" ht="19.5" customHeight="1">
      <c r="Q27" s="12">
        <v>4</v>
      </c>
      <c r="R27" s="9">
        <v>43556</v>
      </c>
      <c r="S27" s="8">
        <v>43585</v>
      </c>
      <c r="T27" s="7">
        <v>380266.98</v>
      </c>
      <c r="U27" s="7">
        <f t="shared" si="2"/>
        <v>7458.539999999979</v>
      </c>
      <c r="V27" s="7">
        <f t="shared" si="3"/>
        <v>6.204042808891443</v>
      </c>
      <c r="W27" s="7" t="s">
        <v>31</v>
      </c>
      <c r="X27" s="7">
        <f>(V24+V25+V26+V27)/4</f>
        <v>9.44383145216572</v>
      </c>
    </row>
    <row r="28" spans="17:24" ht="19.5" customHeight="1">
      <c r="Q28" s="12">
        <v>5</v>
      </c>
      <c r="R28" s="9">
        <v>43586</v>
      </c>
      <c r="S28" s="8">
        <v>43616</v>
      </c>
      <c r="T28" s="7">
        <v>386943.15</v>
      </c>
      <c r="U28" s="7">
        <f t="shared" si="2"/>
        <v>6676.170000000042</v>
      </c>
      <c r="V28" s="7">
        <f t="shared" si="3"/>
        <v>8.543431712540208</v>
      </c>
      <c r="W28" s="7" t="s">
        <v>31</v>
      </c>
      <c r="X28" s="7">
        <f>(V24+V25+V26+V27+V28)/5</f>
        <v>9.263751504240616</v>
      </c>
    </row>
    <row r="29" spans="17:24" ht="19.5" customHeight="1">
      <c r="Q29" s="12">
        <v>6</v>
      </c>
      <c r="R29" s="9">
        <v>43617</v>
      </c>
      <c r="S29" s="8">
        <v>43646</v>
      </c>
      <c r="T29" s="7">
        <v>392270.07</v>
      </c>
      <c r="U29" s="7">
        <f t="shared" si="2"/>
        <v>5326.919999999984</v>
      </c>
      <c r="V29" s="7">
        <f t="shared" si="3"/>
        <v>4.570590625607671</v>
      </c>
      <c r="W29" s="7" t="s">
        <v>31</v>
      </c>
      <c r="X29" s="7">
        <f>(V24+V25+V26+V27+V28+V29)/6</f>
        <v>8.481558024468459</v>
      </c>
    </row>
    <row r="30" spans="17:24" ht="19.5" customHeight="1">
      <c r="Q30" s="12">
        <v>7</v>
      </c>
      <c r="R30" s="9">
        <v>43647</v>
      </c>
      <c r="S30" s="8">
        <v>43677</v>
      </c>
      <c r="T30" s="7">
        <v>397961.31</v>
      </c>
      <c r="U30" s="7">
        <f t="shared" si="2"/>
        <v>5691.239999999991</v>
      </c>
      <c r="V30" s="7">
        <f t="shared" si="3"/>
        <v>7.650403459193698</v>
      </c>
      <c r="W30" s="7" t="s">
        <v>31</v>
      </c>
      <c r="X30" s="7">
        <f>(V24+V25+V26+V27+V28+V29+V30)/7</f>
        <v>8.362821658000636</v>
      </c>
    </row>
    <row r="31" spans="17:24" ht="19.5" customHeight="1">
      <c r="Q31" s="12">
        <v>8</v>
      </c>
      <c r="R31" s="9">
        <v>43678</v>
      </c>
      <c r="S31" s="8">
        <v>43708</v>
      </c>
      <c r="T31" s="7">
        <v>404052.96</v>
      </c>
      <c r="U31" s="7">
        <f t="shared" si="2"/>
        <v>6091.650000000023</v>
      </c>
      <c r="V31" s="7">
        <f t="shared" si="3"/>
        <v>6.023792326235706</v>
      </c>
      <c r="W31" s="7" t="s">
        <v>31</v>
      </c>
      <c r="X31" s="7">
        <f>(V24+V25+V26+V27+V28+V29+V30+V31)/8</f>
        <v>8.070442991530019</v>
      </c>
    </row>
    <row r="32" spans="17:24" ht="19.5" customHeight="1">
      <c r="Q32" s="12">
        <v>9</v>
      </c>
      <c r="R32" s="9">
        <v>43709</v>
      </c>
      <c r="S32" s="8">
        <v>43738</v>
      </c>
      <c r="T32" s="7">
        <v>410331.87</v>
      </c>
      <c r="U32" s="7">
        <f t="shared" si="2"/>
        <v>6278.909999999974</v>
      </c>
      <c r="V32" s="7">
        <f t="shared" si="3"/>
        <v>21.651767550538203</v>
      </c>
      <c r="W32" s="7" t="s">
        <v>31</v>
      </c>
      <c r="X32" s="7">
        <f>(V24+V25+V26+V27+V28+V29+V30+V31+V32)/9</f>
        <v>9.57947905364204</v>
      </c>
    </row>
    <row r="33" spans="17:24" ht="19.5" customHeight="1">
      <c r="Q33" s="12">
        <v>10</v>
      </c>
      <c r="R33" s="9">
        <v>43739</v>
      </c>
      <c r="S33" s="8">
        <v>43771</v>
      </c>
      <c r="T33" s="7">
        <v>419775.45</v>
      </c>
      <c r="U33" s="7">
        <f t="shared" si="2"/>
        <v>9443.580000000016</v>
      </c>
      <c r="V33" s="7">
        <f t="shared" si="3"/>
        <v>-0.5841624495870716</v>
      </c>
      <c r="W33" s="7" t="s">
        <v>31</v>
      </c>
      <c r="X33" s="7">
        <f>(V24+V25+V26+V27+V28+V29+V30+V31+V32+V33)/10</f>
        <v>8.563114903319129</v>
      </c>
    </row>
    <row r="34" spans="17:24" ht="19.5" customHeight="1">
      <c r="Q34" s="12">
        <v>11</v>
      </c>
      <c r="R34" s="9">
        <v>43770</v>
      </c>
      <c r="S34" s="8">
        <v>43795</v>
      </c>
      <c r="T34" s="7">
        <v>427871.16</v>
      </c>
      <c r="U34" s="7">
        <f t="shared" si="2"/>
        <v>8095.709999999963</v>
      </c>
      <c r="V34" s="7">
        <f t="shared" si="3"/>
        <v>2.8568706048265016</v>
      </c>
      <c r="W34" s="7" t="s">
        <v>31</v>
      </c>
      <c r="X34" s="7">
        <f>(V24+V25+V26+V27+V28+V29+V30+V31+V32+V33+V34)/11</f>
        <v>8.04436542163798</v>
      </c>
    </row>
    <row r="35" spans="17:24" ht="19.5" customHeight="1">
      <c r="Q35" s="12">
        <v>12</v>
      </c>
      <c r="R35" s="9">
        <v>43800</v>
      </c>
      <c r="S35" s="8">
        <v>43830</v>
      </c>
      <c r="T35" s="7">
        <v>456800.01</v>
      </c>
      <c r="U35" s="7">
        <f t="shared" si="2"/>
        <v>28928.850000000035</v>
      </c>
      <c r="V35" s="7">
        <f t="shared" si="3"/>
        <v>165.71847418441908</v>
      </c>
      <c r="W35" s="7" t="s">
        <v>31</v>
      </c>
      <c r="X35" s="7">
        <f>(V24+V25+V26+V27+V28+V29+V30+V31+V32+V33+V34+V35)/12</f>
        <v>21.183874485203074</v>
      </c>
    </row>
    <row r="36" spans="17:24" ht="19.5" customHeight="1">
      <c r="Q36" s="24"/>
      <c r="R36" s="25" t="s">
        <v>29</v>
      </c>
      <c r="S36" s="23">
        <v>43465</v>
      </c>
      <c r="T36" s="11">
        <v>272583.17</v>
      </c>
      <c r="U36" s="11"/>
      <c r="V36" s="11"/>
      <c r="W36" s="11"/>
      <c r="X36" s="11"/>
    </row>
    <row r="37" spans="17:24" ht="19.5" customHeight="1">
      <c r="Q37" s="12">
        <v>1</v>
      </c>
      <c r="R37" s="9">
        <v>43466</v>
      </c>
      <c r="S37" s="8">
        <v>43496</v>
      </c>
      <c r="T37" s="7">
        <v>287477.07</v>
      </c>
      <c r="U37" s="7">
        <f>T37-T36</f>
        <v>14893.900000000023</v>
      </c>
      <c r="V37" s="7">
        <f aca="true" t="shared" si="4" ref="V37:V50">U8-U37</f>
        <v>2006.0999999999767</v>
      </c>
      <c r="W37" s="7" t="s">
        <v>33</v>
      </c>
      <c r="X37" s="7"/>
    </row>
    <row r="38" spans="17:24" ht="19.5" customHeight="1">
      <c r="Q38" s="12">
        <v>1</v>
      </c>
      <c r="R38" s="9" t="s">
        <v>117</v>
      </c>
      <c r="S38" s="8">
        <v>43496</v>
      </c>
      <c r="T38" s="7">
        <f>287477.07-697.24</f>
        <v>286779.83</v>
      </c>
      <c r="U38" s="7">
        <f>T38-T37</f>
        <v>-697.2399999999907</v>
      </c>
      <c r="V38" s="7">
        <f t="shared" si="4"/>
        <v>397.2399999999907</v>
      </c>
      <c r="W38" s="7" t="s">
        <v>33</v>
      </c>
      <c r="X38" s="7"/>
    </row>
    <row r="39" spans="17:24" ht="19.5" customHeight="1">
      <c r="Q39" s="12">
        <v>2</v>
      </c>
      <c r="R39" s="9">
        <v>43497</v>
      </c>
      <c r="S39" s="8">
        <v>43521</v>
      </c>
      <c r="T39" s="7">
        <v>299278.88</v>
      </c>
      <c r="U39" s="7">
        <f>T39-T37</f>
        <v>11801.809999999998</v>
      </c>
      <c r="V39" s="7">
        <f t="shared" si="4"/>
        <v>6398.190000000002</v>
      </c>
      <c r="W39" s="7" t="s">
        <v>33</v>
      </c>
      <c r="X39" s="7"/>
    </row>
    <row r="40" spans="17:24" ht="19.5" customHeight="1">
      <c r="Q40" s="12">
        <v>3</v>
      </c>
      <c r="R40" s="9">
        <v>43525</v>
      </c>
      <c r="S40" s="8">
        <v>43555</v>
      </c>
      <c r="T40" s="7">
        <v>310080.5</v>
      </c>
      <c r="U40" s="7">
        <f aca="true" t="shared" si="5" ref="U40:U49">T40-T39</f>
        <v>10801.619999999995</v>
      </c>
      <c r="V40" s="7">
        <f t="shared" si="4"/>
        <v>-3201.6199999999953</v>
      </c>
      <c r="W40" s="7" t="s">
        <v>33</v>
      </c>
      <c r="X40" s="7"/>
    </row>
    <row r="41" spans="17:24" ht="19.5" customHeight="1">
      <c r="Q41" s="12">
        <v>4</v>
      </c>
      <c r="R41" s="9">
        <v>43556</v>
      </c>
      <c r="S41" s="8">
        <v>43585</v>
      </c>
      <c r="T41" s="7">
        <v>317103.34</v>
      </c>
      <c r="U41" s="7">
        <f t="shared" si="5"/>
        <v>7022.840000000026</v>
      </c>
      <c r="V41" s="7">
        <f t="shared" si="4"/>
        <v>377.1599999999744</v>
      </c>
      <c r="W41" s="7" t="s">
        <v>33</v>
      </c>
      <c r="X41" s="7"/>
    </row>
    <row r="42" spans="17:24" ht="19.5" customHeight="1">
      <c r="Q42" s="12">
        <v>5</v>
      </c>
      <c r="R42" s="9">
        <v>43586</v>
      </c>
      <c r="S42" s="8">
        <v>43616</v>
      </c>
      <c r="T42" s="7">
        <v>323254.03</v>
      </c>
      <c r="U42" s="7">
        <f t="shared" si="5"/>
        <v>6150.690000000002</v>
      </c>
      <c r="V42" s="7">
        <f t="shared" si="4"/>
        <v>2649.3099999999977</v>
      </c>
      <c r="W42" s="7" t="s">
        <v>33</v>
      </c>
      <c r="X42" s="7"/>
    </row>
    <row r="43" spans="17:24" ht="19.5" customHeight="1">
      <c r="Q43" s="12">
        <v>6</v>
      </c>
      <c r="R43" s="9">
        <v>43617</v>
      </c>
      <c r="S43" s="8">
        <v>43646</v>
      </c>
      <c r="T43" s="7">
        <v>328348.12</v>
      </c>
      <c r="U43" s="7">
        <f t="shared" si="5"/>
        <v>5094.089999999967</v>
      </c>
      <c r="V43" s="7">
        <f t="shared" si="4"/>
        <v>-94.0899999999674</v>
      </c>
      <c r="W43" s="7" t="s">
        <v>33</v>
      </c>
      <c r="X43" s="7"/>
    </row>
    <row r="44" spans="17:24" ht="19.5" customHeight="1">
      <c r="Q44" s="12">
        <v>7</v>
      </c>
      <c r="R44" s="9">
        <v>43647</v>
      </c>
      <c r="S44" s="8">
        <v>43677</v>
      </c>
      <c r="T44" s="7">
        <v>333634.9</v>
      </c>
      <c r="U44" s="7">
        <f t="shared" si="5"/>
        <v>5286.780000000028</v>
      </c>
      <c r="V44" s="7">
        <f t="shared" si="4"/>
        <v>913.2199999999721</v>
      </c>
      <c r="W44" s="7" t="s">
        <v>33</v>
      </c>
      <c r="X44" s="7"/>
    </row>
    <row r="45" spans="17:24" ht="19.5" customHeight="1">
      <c r="Q45" s="12">
        <v>8</v>
      </c>
      <c r="R45" s="9">
        <v>43678</v>
      </c>
      <c r="S45" s="8">
        <v>43700</v>
      </c>
      <c r="T45" s="7">
        <v>339380.45</v>
      </c>
      <c r="U45" s="7">
        <f t="shared" si="5"/>
        <v>5745.549999999988</v>
      </c>
      <c r="V45" s="7">
        <f t="shared" si="4"/>
        <v>654.4500000000116</v>
      </c>
      <c r="W45" s="7" t="s">
        <v>33</v>
      </c>
      <c r="X45" s="7"/>
    </row>
    <row r="46" spans="17:24" ht="19.5" customHeight="1">
      <c r="Q46" s="12">
        <v>9</v>
      </c>
      <c r="R46" s="9">
        <v>43709</v>
      </c>
      <c r="S46" s="8">
        <v>43735</v>
      </c>
      <c r="T46" s="7">
        <v>344541.83</v>
      </c>
      <c r="U46" s="7">
        <f t="shared" si="5"/>
        <v>5161.380000000005</v>
      </c>
      <c r="V46" s="7">
        <f t="shared" si="4"/>
        <v>38.61999999999534</v>
      </c>
      <c r="W46" s="7" t="s">
        <v>33</v>
      </c>
      <c r="X46" s="7"/>
    </row>
    <row r="47" spans="17:24" ht="19.5" customHeight="1">
      <c r="Q47" s="12">
        <v>10</v>
      </c>
      <c r="R47" s="9">
        <v>43739</v>
      </c>
      <c r="S47" s="8">
        <v>43771</v>
      </c>
      <c r="T47" s="7">
        <v>354040.9</v>
      </c>
      <c r="U47" s="7">
        <f t="shared" si="5"/>
        <v>9499.070000000007</v>
      </c>
      <c r="V47" s="7">
        <f t="shared" si="4"/>
        <v>-1099.070000000007</v>
      </c>
      <c r="W47" s="7" t="s">
        <v>33</v>
      </c>
      <c r="X47" s="7"/>
    </row>
    <row r="48" spans="17:24" ht="19.5" customHeight="1">
      <c r="Q48" s="12">
        <v>11</v>
      </c>
      <c r="R48" s="9">
        <v>43770</v>
      </c>
      <c r="S48" s="8">
        <v>43795</v>
      </c>
      <c r="T48" s="7">
        <v>361911.75</v>
      </c>
      <c r="U48" s="7">
        <f t="shared" si="5"/>
        <v>7870.849999999977</v>
      </c>
      <c r="V48" s="7">
        <f t="shared" si="4"/>
        <v>1929.1500000000233</v>
      </c>
      <c r="W48" s="7" t="s">
        <v>33</v>
      </c>
      <c r="X48" s="7"/>
    </row>
    <row r="49" spans="17:24" ht="19.5" customHeight="1">
      <c r="Q49" s="26">
        <v>12</v>
      </c>
      <c r="R49" s="27">
        <v>43800</v>
      </c>
      <c r="S49" s="28">
        <v>43830</v>
      </c>
      <c r="T49" s="29">
        <v>372798.78</v>
      </c>
      <c r="U49" s="7">
        <f t="shared" si="5"/>
        <v>10887.030000000028</v>
      </c>
      <c r="V49" s="7">
        <f t="shared" si="4"/>
        <v>9912.969999999972</v>
      </c>
      <c r="W49" s="29"/>
      <c r="X49" s="29"/>
    </row>
    <row r="50" spans="17:24" ht="19.5" customHeight="1">
      <c r="Q50" s="161"/>
      <c r="R50" s="162" t="s">
        <v>182</v>
      </c>
      <c r="S50" s="163"/>
      <c r="T50" s="164"/>
      <c r="U50" s="46">
        <f>U49</f>
        <v>10887.030000000028</v>
      </c>
      <c r="V50" s="46">
        <f t="shared" si="4"/>
        <v>1306.4436000000042</v>
      </c>
      <c r="W50" s="164"/>
      <c r="X50" s="164"/>
    </row>
    <row r="51" spans="17:24" ht="19.5" customHeight="1">
      <c r="Q51" s="161"/>
      <c r="R51" s="162" t="s">
        <v>183</v>
      </c>
      <c r="S51" s="163"/>
      <c r="T51" s="164"/>
      <c r="U51" s="46"/>
      <c r="V51" s="46">
        <v>8606.53</v>
      </c>
      <c r="W51" s="164"/>
      <c r="X51" s="164"/>
    </row>
    <row r="52" spans="1:242" ht="27" customHeight="1" thickBot="1">
      <c r="A52" s="215" t="s">
        <v>90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6" t="s">
        <v>170</v>
      </c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127"/>
      <c r="AK52" s="218" t="s">
        <v>115</v>
      </c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25"/>
      <c r="AZ52" s="219"/>
      <c r="BA52" s="219"/>
      <c r="BB52" s="226"/>
      <c r="BC52" s="217" t="s">
        <v>130</v>
      </c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 t="s">
        <v>138</v>
      </c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 t="s">
        <v>139</v>
      </c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 t="s">
        <v>144</v>
      </c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8" t="s">
        <v>147</v>
      </c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23" t="s">
        <v>156</v>
      </c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4"/>
      <c r="FG52" s="217" t="s">
        <v>158</v>
      </c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 t="s">
        <v>174</v>
      </c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 t="s">
        <v>181</v>
      </c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 t="s">
        <v>186</v>
      </c>
      <c r="HP52" s="221"/>
      <c r="HQ52" s="221"/>
      <c r="HR52" s="221"/>
      <c r="HS52" s="221"/>
      <c r="HT52" s="221"/>
      <c r="HU52" s="221"/>
      <c r="HV52" s="221"/>
      <c r="HW52" s="221"/>
      <c r="HX52" s="221"/>
      <c r="HY52" s="221"/>
      <c r="HZ52" s="221"/>
      <c r="IA52" s="221"/>
      <c r="IB52" s="221"/>
      <c r="IC52" s="221"/>
      <c r="ID52" s="221"/>
      <c r="IE52" s="221"/>
      <c r="IF52" s="221"/>
      <c r="IG52" s="221"/>
      <c r="IH52" s="221"/>
    </row>
    <row r="53" spans="1:242" s="45" customFormat="1" ht="93" customHeight="1">
      <c r="A53" s="44" t="s">
        <v>0</v>
      </c>
      <c r="B53" s="44" t="s">
        <v>1</v>
      </c>
      <c r="C53" s="44" t="s">
        <v>34</v>
      </c>
      <c r="D53" s="44" t="s">
        <v>2</v>
      </c>
      <c r="E53" s="44" t="s">
        <v>91</v>
      </c>
      <c r="F53" s="44" t="s">
        <v>3</v>
      </c>
      <c r="G53" s="44" t="s">
        <v>43</v>
      </c>
      <c r="H53" s="44" t="s">
        <v>45</v>
      </c>
      <c r="I53" s="44" t="s">
        <v>4</v>
      </c>
      <c r="J53" s="44" t="s">
        <v>25</v>
      </c>
      <c r="K53" s="44" t="s">
        <v>24</v>
      </c>
      <c r="L53" s="44" t="s">
        <v>26</v>
      </c>
      <c r="M53" s="44" t="s">
        <v>82</v>
      </c>
      <c r="N53" s="44" t="s">
        <v>89</v>
      </c>
      <c r="O53" s="44" t="s">
        <v>77</v>
      </c>
      <c r="P53" s="44" t="s">
        <v>80</v>
      </c>
      <c r="Q53" s="115" t="s">
        <v>0</v>
      </c>
      <c r="R53" s="115" t="s">
        <v>1</v>
      </c>
      <c r="S53" s="82" t="s">
        <v>109</v>
      </c>
      <c r="T53" s="82" t="s">
        <v>105</v>
      </c>
      <c r="U53" s="115" t="s">
        <v>34</v>
      </c>
      <c r="V53" s="115" t="s">
        <v>2</v>
      </c>
      <c r="W53" s="115" t="s">
        <v>108</v>
      </c>
      <c r="X53" s="115" t="s">
        <v>3</v>
      </c>
      <c r="Y53" s="115" t="s">
        <v>97</v>
      </c>
      <c r="Z53" s="116" t="s">
        <v>95</v>
      </c>
      <c r="AA53" s="117" t="s">
        <v>113</v>
      </c>
      <c r="AB53" s="118" t="s">
        <v>98</v>
      </c>
      <c r="AC53" s="116" t="s">
        <v>45</v>
      </c>
      <c r="AD53" s="82" t="s">
        <v>25</v>
      </c>
      <c r="AE53" s="83" t="s">
        <v>24</v>
      </c>
      <c r="AF53" s="82" t="s">
        <v>26</v>
      </c>
      <c r="AG53" s="82" t="s">
        <v>110</v>
      </c>
      <c r="AH53" s="82" t="s">
        <v>111</v>
      </c>
      <c r="AI53" s="82" t="s">
        <v>77</v>
      </c>
      <c r="AJ53" s="33" t="s">
        <v>80</v>
      </c>
      <c r="AK53" s="119" t="s">
        <v>0</v>
      </c>
      <c r="AL53" s="119" t="s">
        <v>1</v>
      </c>
      <c r="AM53" s="119" t="s">
        <v>34</v>
      </c>
      <c r="AN53" s="119" t="s">
        <v>2</v>
      </c>
      <c r="AO53" s="119" t="s">
        <v>114</v>
      </c>
      <c r="AP53" s="119" t="s">
        <v>3</v>
      </c>
      <c r="AQ53" s="119" t="s">
        <v>97</v>
      </c>
      <c r="AR53" s="119" t="s">
        <v>95</v>
      </c>
      <c r="AS53" s="120" t="s">
        <v>113</v>
      </c>
      <c r="AT53" s="119" t="s">
        <v>98</v>
      </c>
      <c r="AU53" s="119" t="s">
        <v>45</v>
      </c>
      <c r="AV53" s="70" t="s">
        <v>25</v>
      </c>
      <c r="AW53" s="70" t="s">
        <v>24</v>
      </c>
      <c r="AX53" s="84" t="s">
        <v>26</v>
      </c>
      <c r="AY53" s="90" t="s">
        <v>118</v>
      </c>
      <c r="AZ53" s="87" t="s">
        <v>119</v>
      </c>
      <c r="BA53" s="70" t="s">
        <v>77</v>
      </c>
      <c r="BB53" s="70" t="s">
        <v>80</v>
      </c>
      <c r="BC53" s="33" t="s">
        <v>0</v>
      </c>
      <c r="BD53" s="33" t="s">
        <v>1</v>
      </c>
      <c r="BE53" s="33" t="s">
        <v>34</v>
      </c>
      <c r="BF53" s="33" t="s">
        <v>2</v>
      </c>
      <c r="BG53" s="33" t="s">
        <v>126</v>
      </c>
      <c r="BH53" s="33" t="s">
        <v>3</v>
      </c>
      <c r="BI53" s="33" t="s">
        <v>97</v>
      </c>
      <c r="BJ53" s="33" t="s">
        <v>122</v>
      </c>
      <c r="BK53" s="33" t="s">
        <v>123</v>
      </c>
      <c r="BL53" s="97" t="s">
        <v>98</v>
      </c>
      <c r="BM53" s="33" t="s">
        <v>45</v>
      </c>
      <c r="BN53" s="33" t="s">
        <v>25</v>
      </c>
      <c r="BO53" s="33" t="s">
        <v>24</v>
      </c>
      <c r="BP53" s="33" t="s">
        <v>26</v>
      </c>
      <c r="BQ53" s="33" t="s">
        <v>118</v>
      </c>
      <c r="BR53" s="33" t="s">
        <v>131</v>
      </c>
      <c r="BS53" s="33" t="s">
        <v>77</v>
      </c>
      <c r="BT53" s="33" t="s">
        <v>80</v>
      </c>
      <c r="BU53" s="33" t="s">
        <v>0</v>
      </c>
      <c r="BV53" s="33" t="s">
        <v>1</v>
      </c>
      <c r="BW53" s="33" t="s">
        <v>34</v>
      </c>
      <c r="BX53" s="33" t="s">
        <v>2</v>
      </c>
      <c r="BY53" s="33" t="s">
        <v>136</v>
      </c>
      <c r="BZ53" s="33" t="s">
        <v>3</v>
      </c>
      <c r="CA53" s="33" t="s">
        <v>97</v>
      </c>
      <c r="CB53" s="33" t="s">
        <v>122</v>
      </c>
      <c r="CC53" s="33" t="s">
        <v>123</v>
      </c>
      <c r="CD53" s="33" t="s">
        <v>98</v>
      </c>
      <c r="CE53" s="33" t="s">
        <v>45</v>
      </c>
      <c r="CF53" s="33" t="s">
        <v>25</v>
      </c>
      <c r="CG53" s="33" t="s">
        <v>24</v>
      </c>
      <c r="CH53" s="33" t="s">
        <v>26</v>
      </c>
      <c r="CI53" s="33" t="s">
        <v>118</v>
      </c>
      <c r="CJ53" s="33" t="s">
        <v>137</v>
      </c>
      <c r="CK53" s="33" t="s">
        <v>77</v>
      </c>
      <c r="CL53" s="33" t="s">
        <v>80</v>
      </c>
      <c r="CM53" s="33" t="s">
        <v>0</v>
      </c>
      <c r="CN53" s="33" t="s">
        <v>1</v>
      </c>
      <c r="CO53" s="33" t="s">
        <v>34</v>
      </c>
      <c r="CP53" s="33" t="s">
        <v>2</v>
      </c>
      <c r="CQ53" s="33" t="s">
        <v>140</v>
      </c>
      <c r="CR53" s="33" t="s">
        <v>3</v>
      </c>
      <c r="CS53" s="33" t="s">
        <v>97</v>
      </c>
      <c r="CT53" s="33" t="s">
        <v>122</v>
      </c>
      <c r="CU53" s="33" t="s">
        <v>123</v>
      </c>
      <c r="CV53" s="33" t="s">
        <v>98</v>
      </c>
      <c r="CW53" s="33" t="s">
        <v>45</v>
      </c>
      <c r="CX53" s="33" t="s">
        <v>25</v>
      </c>
      <c r="CY53" s="33" t="s">
        <v>24</v>
      </c>
      <c r="CZ53" s="33" t="s">
        <v>26</v>
      </c>
      <c r="DA53" s="33" t="s">
        <v>118</v>
      </c>
      <c r="DB53" s="33" t="s">
        <v>141</v>
      </c>
      <c r="DC53" s="100" t="s">
        <v>77</v>
      </c>
      <c r="DD53" s="33" t="s">
        <v>80</v>
      </c>
      <c r="DE53" s="121" t="s">
        <v>0</v>
      </c>
      <c r="DF53" s="121" t="s">
        <v>1</v>
      </c>
      <c r="DG53" s="121" t="s">
        <v>34</v>
      </c>
      <c r="DH53" s="121" t="s">
        <v>2</v>
      </c>
      <c r="DI53" s="121" t="s">
        <v>142</v>
      </c>
      <c r="DJ53" s="121" t="s">
        <v>3</v>
      </c>
      <c r="DK53" s="122" t="s">
        <v>97</v>
      </c>
      <c r="DL53" s="122" t="s">
        <v>122</v>
      </c>
      <c r="DM53" s="122" t="s">
        <v>123</v>
      </c>
      <c r="DN53" s="123" t="s">
        <v>98</v>
      </c>
      <c r="DO53" s="122" t="s">
        <v>45</v>
      </c>
      <c r="DP53" s="11" t="s">
        <v>25</v>
      </c>
      <c r="DQ53" s="11" t="s">
        <v>24</v>
      </c>
      <c r="DR53" s="11" t="s">
        <v>26</v>
      </c>
      <c r="DS53" s="11" t="s">
        <v>118</v>
      </c>
      <c r="DT53" s="11" t="s">
        <v>143</v>
      </c>
      <c r="DU53" s="100" t="s">
        <v>77</v>
      </c>
      <c r="DV53" s="11" t="s">
        <v>80</v>
      </c>
      <c r="DW53" s="33" t="s">
        <v>0</v>
      </c>
      <c r="DX53" s="33" t="s">
        <v>1</v>
      </c>
      <c r="DY53" s="33" t="s">
        <v>34</v>
      </c>
      <c r="DZ53" s="33" t="s">
        <v>2</v>
      </c>
      <c r="EA53" s="33" t="s">
        <v>146</v>
      </c>
      <c r="EB53" s="33" t="s">
        <v>3</v>
      </c>
      <c r="EC53" s="33" t="s">
        <v>97</v>
      </c>
      <c r="ED53" s="33" t="s">
        <v>122</v>
      </c>
      <c r="EE53" s="33" t="s">
        <v>123</v>
      </c>
      <c r="EF53" s="33" t="s">
        <v>98</v>
      </c>
      <c r="EG53" s="33" t="s">
        <v>45</v>
      </c>
      <c r="EH53" s="33" t="s">
        <v>25</v>
      </c>
      <c r="EI53" s="33" t="s">
        <v>24</v>
      </c>
      <c r="EJ53" s="33" t="s">
        <v>26</v>
      </c>
      <c r="EK53" s="33" t="s">
        <v>148</v>
      </c>
      <c r="EL53" s="33" t="s">
        <v>149</v>
      </c>
      <c r="EM53" s="33" t="s">
        <v>77</v>
      </c>
      <c r="EN53" s="33" t="s">
        <v>80</v>
      </c>
      <c r="EO53" s="33" t="s">
        <v>0</v>
      </c>
      <c r="EP53" s="33" t="s">
        <v>1</v>
      </c>
      <c r="EQ53" s="33" t="s">
        <v>34</v>
      </c>
      <c r="ER53" s="33" t="s">
        <v>2</v>
      </c>
      <c r="ES53" s="33" t="s">
        <v>152</v>
      </c>
      <c r="ET53" s="33" t="s">
        <v>3</v>
      </c>
      <c r="EU53" s="33" t="s">
        <v>97</v>
      </c>
      <c r="EV53" s="33" t="s">
        <v>122</v>
      </c>
      <c r="EW53" s="33" t="s">
        <v>123</v>
      </c>
      <c r="EX53" s="33" t="s">
        <v>98</v>
      </c>
      <c r="EY53" s="33" t="s">
        <v>45</v>
      </c>
      <c r="EZ53" s="33" t="s">
        <v>25</v>
      </c>
      <c r="FA53" s="33" t="s">
        <v>24</v>
      </c>
      <c r="FB53" s="33" t="s">
        <v>26</v>
      </c>
      <c r="FC53" s="33" t="s">
        <v>148</v>
      </c>
      <c r="FD53" s="33" t="s">
        <v>153</v>
      </c>
      <c r="FE53" s="33" t="s">
        <v>77</v>
      </c>
      <c r="FF53" s="33" t="s">
        <v>80</v>
      </c>
      <c r="FG53" s="70" t="s">
        <v>0</v>
      </c>
      <c r="FH53" s="70" t="s">
        <v>1</v>
      </c>
      <c r="FI53" s="70" t="s">
        <v>34</v>
      </c>
      <c r="FJ53" s="70" t="s">
        <v>2</v>
      </c>
      <c r="FK53" s="70" t="s">
        <v>157</v>
      </c>
      <c r="FL53" s="70" t="s">
        <v>3</v>
      </c>
      <c r="FM53" s="70" t="s">
        <v>97</v>
      </c>
      <c r="FN53" s="70" t="s">
        <v>122</v>
      </c>
      <c r="FO53" s="70" t="s">
        <v>123</v>
      </c>
      <c r="FP53" s="70" t="s">
        <v>98</v>
      </c>
      <c r="FQ53" s="70" t="s">
        <v>45</v>
      </c>
      <c r="FR53" s="70" t="s">
        <v>25</v>
      </c>
      <c r="FS53" s="70" t="s">
        <v>24</v>
      </c>
      <c r="FT53" s="70" t="s">
        <v>26</v>
      </c>
      <c r="FU53" s="70" t="s">
        <v>163</v>
      </c>
      <c r="FV53" s="70" t="s">
        <v>164</v>
      </c>
      <c r="FW53" s="70" t="s">
        <v>165</v>
      </c>
      <c r="FX53" s="70" t="s">
        <v>159</v>
      </c>
      <c r="FY53" s="70" t="s">
        <v>77</v>
      </c>
      <c r="FZ53" s="70" t="s">
        <v>80</v>
      </c>
      <c r="GA53" s="151" t="s">
        <v>0</v>
      </c>
      <c r="GB53" s="151" t="s">
        <v>1</v>
      </c>
      <c r="GC53" s="151" t="s">
        <v>34</v>
      </c>
      <c r="GD53" s="151" t="s">
        <v>2</v>
      </c>
      <c r="GE53" s="151" t="s">
        <v>171</v>
      </c>
      <c r="GF53" s="151" t="s">
        <v>3</v>
      </c>
      <c r="GG53" s="152" t="s">
        <v>97</v>
      </c>
      <c r="GH53" s="152" t="s">
        <v>122</v>
      </c>
      <c r="GI53" s="152" t="s">
        <v>123</v>
      </c>
      <c r="GJ53" s="152" t="s">
        <v>98</v>
      </c>
      <c r="GK53" s="152" t="s">
        <v>45</v>
      </c>
      <c r="GL53" s="70" t="s">
        <v>25</v>
      </c>
      <c r="GM53" s="70" t="s">
        <v>24</v>
      </c>
      <c r="GN53" s="70" t="s">
        <v>26</v>
      </c>
      <c r="GO53" s="70" t="s">
        <v>163</v>
      </c>
      <c r="GP53" s="70" t="s">
        <v>164</v>
      </c>
      <c r="GQ53" s="70" t="s">
        <v>165</v>
      </c>
      <c r="GR53" s="70" t="s">
        <v>173</v>
      </c>
      <c r="GS53" s="70" t="s">
        <v>77</v>
      </c>
      <c r="GT53" s="70" t="s">
        <v>80</v>
      </c>
      <c r="GU53" s="153" t="s">
        <v>0</v>
      </c>
      <c r="GV53" s="153" t="s">
        <v>1</v>
      </c>
      <c r="GW53" s="153" t="s">
        <v>34</v>
      </c>
      <c r="GX53" s="153" t="s">
        <v>2</v>
      </c>
      <c r="GY53" s="153" t="s">
        <v>177</v>
      </c>
      <c r="GZ53" s="153" t="s">
        <v>3</v>
      </c>
      <c r="HA53" s="154" t="s">
        <v>97</v>
      </c>
      <c r="HB53" s="154" t="s">
        <v>122</v>
      </c>
      <c r="HC53" s="154" t="s">
        <v>123</v>
      </c>
      <c r="HD53" s="154" t="s">
        <v>98</v>
      </c>
      <c r="HE53" s="154" t="s">
        <v>45</v>
      </c>
      <c r="HF53" s="33" t="s">
        <v>25</v>
      </c>
      <c r="HG53" s="33" t="s">
        <v>24</v>
      </c>
      <c r="HH53" s="33" t="s">
        <v>26</v>
      </c>
      <c r="HI53" s="33" t="s">
        <v>163</v>
      </c>
      <c r="HJ53" s="33" t="s">
        <v>164</v>
      </c>
      <c r="HK53" s="33" t="s">
        <v>180</v>
      </c>
      <c r="HL53" s="33" t="s">
        <v>178</v>
      </c>
      <c r="HM53" s="33" t="s">
        <v>77</v>
      </c>
      <c r="HN53" s="33" t="s">
        <v>80</v>
      </c>
      <c r="HO53" s="33" t="s">
        <v>0</v>
      </c>
      <c r="HP53" s="33" t="s">
        <v>1</v>
      </c>
      <c r="HQ53" s="33" t="s">
        <v>34</v>
      </c>
      <c r="HR53" s="33" t="s">
        <v>2</v>
      </c>
      <c r="HS53" s="33" t="s">
        <v>185</v>
      </c>
      <c r="HT53" s="33" t="s">
        <v>3</v>
      </c>
      <c r="HU53" s="33" t="s">
        <v>97</v>
      </c>
      <c r="HV53" s="33" t="s">
        <v>122</v>
      </c>
      <c r="HW53" s="33" t="s">
        <v>123</v>
      </c>
      <c r="HX53" s="33" t="s">
        <v>98</v>
      </c>
      <c r="HY53" s="33" t="s">
        <v>45</v>
      </c>
      <c r="HZ53" s="33" t="s">
        <v>25</v>
      </c>
      <c r="IA53" s="33" t="s">
        <v>24</v>
      </c>
      <c r="IB53" s="33" t="s">
        <v>26</v>
      </c>
      <c r="IC53" s="33" t="s">
        <v>163</v>
      </c>
      <c r="ID53" s="33" t="s">
        <v>164</v>
      </c>
      <c r="IE53" s="33" t="s">
        <v>180</v>
      </c>
      <c r="IF53" s="33" t="s">
        <v>189</v>
      </c>
      <c r="IG53" s="33" t="s">
        <v>77</v>
      </c>
      <c r="IH53" s="33" t="s">
        <v>80</v>
      </c>
    </row>
    <row r="54" spans="1:242" ht="19.5" customHeight="1">
      <c r="A54" s="10">
        <v>1</v>
      </c>
      <c r="B54" s="6" t="s">
        <v>50</v>
      </c>
      <c r="C54" s="6" t="s">
        <v>5</v>
      </c>
      <c r="D54" s="5">
        <v>43100</v>
      </c>
      <c r="F54" s="6">
        <v>1690.21</v>
      </c>
      <c r="H54" s="6">
        <v>1690.21</v>
      </c>
      <c r="J54" s="6">
        <v>0.01999999999998181</v>
      </c>
      <c r="K54" s="6">
        <v>-0.0028706414745562924</v>
      </c>
      <c r="L54" s="6">
        <v>0.017129358525425516</v>
      </c>
      <c r="M54" s="6">
        <v>0.045392800092377616</v>
      </c>
      <c r="N54" s="6">
        <v>-359.5222550104978</v>
      </c>
      <c r="O54" s="10">
        <v>1</v>
      </c>
      <c r="P54" s="6" t="s">
        <v>39</v>
      </c>
      <c r="Q54" s="1">
        <v>1</v>
      </c>
      <c r="R54" s="56" t="s">
        <v>50</v>
      </c>
      <c r="S54" s="54">
        <v>2013.19</v>
      </c>
      <c r="T54" s="55">
        <v>-888.6894326399894</v>
      </c>
      <c r="U54" s="2" t="s">
        <v>5</v>
      </c>
      <c r="V54" s="30">
        <v>43496</v>
      </c>
      <c r="W54" s="37"/>
      <c r="X54" s="31">
        <v>2013.5900000000001</v>
      </c>
      <c r="Y54" s="31"/>
      <c r="Z54" s="31"/>
      <c r="AA54" s="31"/>
      <c r="AB54" s="31"/>
      <c r="AC54" s="57">
        <f aca="true" t="shared" si="6" ref="AC54:AC83">X54+Y54+Z54+AA54</f>
        <v>2013.5900000000001</v>
      </c>
      <c r="AD54" s="34">
        <f aca="true" t="shared" si="7" ref="AD54:AD83">AC54-S54</f>
        <v>0.40000000000009095</v>
      </c>
      <c r="AE54" s="38">
        <f aca="true" t="shared" si="8" ref="AE54:AE83">$V$37/$U$37*AD54</f>
        <v>0.05387709062100402</v>
      </c>
      <c r="AF54" s="39">
        <f aca="true" t="shared" si="9" ref="AF54:AF83">AD54+AE54</f>
        <v>0.453877090621095</v>
      </c>
      <c r="AG54" s="4">
        <f>AF54*2.77</f>
        <v>1.2572395410204331</v>
      </c>
      <c r="AH54" s="40">
        <f aca="true" t="shared" si="10" ref="AH54:AH83">T54-W54+AG54</f>
        <v>-887.4321930989689</v>
      </c>
      <c r="AI54" s="41">
        <v>1</v>
      </c>
      <c r="AJ54" s="36" t="s">
        <v>39</v>
      </c>
      <c r="AK54" s="1">
        <v>1</v>
      </c>
      <c r="AL54" s="2" t="s">
        <v>50</v>
      </c>
      <c r="AM54" s="2" t="s">
        <v>5</v>
      </c>
      <c r="AN54" s="72">
        <v>43521</v>
      </c>
      <c r="AO54" s="73"/>
      <c r="AP54" s="74">
        <v>2013.5900000000001</v>
      </c>
      <c r="AQ54" s="74"/>
      <c r="AR54" s="74"/>
      <c r="AS54" s="74"/>
      <c r="AT54" s="74"/>
      <c r="AU54" s="79">
        <f aca="true" t="shared" si="11" ref="AU54:AU83">AP54+AQ54+AR54+AS54</f>
        <v>2013.5900000000001</v>
      </c>
      <c r="AV54" s="81">
        <f aca="true" t="shared" si="12" ref="AV54:AV83">AU54-AC54</f>
        <v>0</v>
      </c>
      <c r="AW54" s="80">
        <f aca="true" t="shared" si="13" ref="AW54:AW78">($V$39+$U$9+31.76)/$U$39*AV54</f>
        <v>0</v>
      </c>
      <c r="AX54" s="85">
        <f>AV54+AW54</f>
        <v>0</v>
      </c>
      <c r="AY54" s="91">
        <f>AX54*(51324+2188.81)/(18200+790.2)</f>
        <v>0</v>
      </c>
      <c r="AZ54" s="88">
        <f>AH54-AO54+AY54</f>
        <v>-887.4321930989689</v>
      </c>
      <c r="BA54" s="22">
        <v>1</v>
      </c>
      <c r="BB54" s="7" t="s">
        <v>39</v>
      </c>
      <c r="BC54" s="12">
        <v>1</v>
      </c>
      <c r="BD54" s="7" t="s">
        <v>50</v>
      </c>
      <c r="BE54" s="7" t="s">
        <v>5</v>
      </c>
      <c r="BF54" s="8">
        <v>43555</v>
      </c>
      <c r="BG54" s="16"/>
      <c r="BH54" s="7">
        <v>2028.98</v>
      </c>
      <c r="BI54" s="7"/>
      <c r="BJ54" s="7"/>
      <c r="BK54" s="7"/>
      <c r="BL54" s="7"/>
      <c r="BM54" s="17">
        <f aca="true" t="shared" si="14" ref="BM54:BM83">BH54+BI54+BJ54+BK54</f>
        <v>2028.98</v>
      </c>
      <c r="BN54" s="18">
        <f>BM54-AU54</f>
        <v>15.389999999999873</v>
      </c>
      <c r="BO54" s="19">
        <f>$V$40/$U$40*BN54</f>
        <v>-4.561624256361504</v>
      </c>
      <c r="BP54" s="15">
        <f>BN54+BO54</f>
        <v>10.828375743638368</v>
      </c>
      <c r="BQ54" s="11">
        <f>BP54*2.82</f>
        <v>30.536019597060196</v>
      </c>
      <c r="BR54" s="46">
        <f>AZ54-BG54+BQ54</f>
        <v>-856.8961735019087</v>
      </c>
      <c r="BS54" s="22">
        <v>1</v>
      </c>
      <c r="BT54" s="7" t="s">
        <v>39</v>
      </c>
      <c r="BU54" s="12">
        <v>1</v>
      </c>
      <c r="BV54" s="7" t="s">
        <v>50</v>
      </c>
      <c r="BW54" s="7" t="s">
        <v>5</v>
      </c>
      <c r="BX54" s="8">
        <v>43585</v>
      </c>
      <c r="BY54" s="16"/>
      <c r="BZ54" s="7">
        <v>2057.68</v>
      </c>
      <c r="CA54" s="7"/>
      <c r="CB54" s="7"/>
      <c r="CC54" s="7"/>
      <c r="CD54" s="7"/>
      <c r="CE54" s="17">
        <v>2057.68</v>
      </c>
      <c r="CF54" s="18">
        <f>CE54-BM54</f>
        <v>28.699999999999818</v>
      </c>
      <c r="CG54" s="19">
        <f>$V$41/$U$41*CF54</f>
        <v>1.54132687061063</v>
      </c>
      <c r="CH54" s="20">
        <f>CF54+CG54</f>
        <v>30.241326870610447</v>
      </c>
      <c r="CI54" s="11">
        <f>CH54*2.82</f>
        <v>85.28054177512145</v>
      </c>
      <c r="CJ54" s="46">
        <f>BR54-BY54+CI54</f>
        <v>-771.6156317267872</v>
      </c>
      <c r="CK54" s="22">
        <v>1</v>
      </c>
      <c r="CL54" s="7" t="s">
        <v>39</v>
      </c>
      <c r="CM54" s="12">
        <v>1</v>
      </c>
      <c r="CN54" s="7" t="s">
        <v>50</v>
      </c>
      <c r="CO54" s="7" t="s">
        <v>5</v>
      </c>
      <c r="CP54" s="8">
        <v>43615</v>
      </c>
      <c r="CQ54" s="16"/>
      <c r="CR54" s="7">
        <v>2078.42</v>
      </c>
      <c r="CS54" s="7"/>
      <c r="CT54" s="7"/>
      <c r="CU54" s="7"/>
      <c r="CV54" s="7"/>
      <c r="CW54" s="17">
        <v>2078.42</v>
      </c>
      <c r="CX54" s="18">
        <f>CW54-CE54</f>
        <v>20.740000000000236</v>
      </c>
      <c r="CY54" s="19">
        <f>$V$42/$U$42*CX54</f>
        <v>8.93341875464388</v>
      </c>
      <c r="CZ54" s="15">
        <f>CX54+CY54</f>
        <v>29.673418754644118</v>
      </c>
      <c r="DA54" s="11">
        <f>CZ54*2.82</f>
        <v>83.67904088809641</v>
      </c>
      <c r="DB54" s="46">
        <f>CJ54-CQ54+DA54</f>
        <v>-687.9365908386908</v>
      </c>
      <c r="DC54" s="22">
        <v>1</v>
      </c>
      <c r="DD54" s="7" t="s">
        <v>39</v>
      </c>
      <c r="DE54" s="1">
        <v>1</v>
      </c>
      <c r="DF54" s="2" t="s">
        <v>50</v>
      </c>
      <c r="DG54" s="2" t="s">
        <v>5</v>
      </c>
      <c r="DH54" s="30">
        <v>43646</v>
      </c>
      <c r="DI54" s="37"/>
      <c r="DJ54" s="31">
        <v>2102.64</v>
      </c>
      <c r="DK54" s="58"/>
      <c r="DL54" s="58"/>
      <c r="DM54" s="58"/>
      <c r="DN54" s="35"/>
      <c r="DO54" s="57">
        <f aca="true" t="shared" si="15" ref="DO54:DO83">DJ54+DK54+DL54+DM54</f>
        <v>2102.64</v>
      </c>
      <c r="DP54" s="18">
        <f>DO54-CW54</f>
        <v>24.2199999999998</v>
      </c>
      <c r="DQ54" s="19">
        <f>$V$43/$U$43*DP54</f>
        <v>-0.4473536588476463</v>
      </c>
      <c r="DR54" s="15">
        <f>DP54+DQ54</f>
        <v>23.772646341152154</v>
      </c>
      <c r="DS54" s="11">
        <f>DR54*2.82</f>
        <v>67.03886268204907</v>
      </c>
      <c r="DT54" s="46">
        <f>DB54-DI54+DS54</f>
        <v>-620.8977281566417</v>
      </c>
      <c r="DU54" s="22">
        <v>1</v>
      </c>
      <c r="DV54" s="7" t="s">
        <v>39</v>
      </c>
      <c r="DW54" s="12">
        <v>1</v>
      </c>
      <c r="DX54" s="7" t="s">
        <v>50</v>
      </c>
      <c r="DY54" s="7" t="s">
        <v>5</v>
      </c>
      <c r="DZ54" s="8">
        <v>43677</v>
      </c>
      <c r="EA54" s="16">
        <v>1000</v>
      </c>
      <c r="EB54" s="7">
        <v>2119.44</v>
      </c>
      <c r="EC54" s="7"/>
      <c r="ED54" s="7"/>
      <c r="EE54" s="7"/>
      <c r="EF54" s="7"/>
      <c r="EG54" s="17">
        <v>2119.44</v>
      </c>
      <c r="EH54" s="18">
        <f>EG54-DO54</f>
        <v>16.800000000000182</v>
      </c>
      <c r="EI54" s="19">
        <f>EH54*$V$44/$U$44</f>
        <v>2.901973602079076</v>
      </c>
      <c r="EJ54" s="15">
        <f>EH54+EI54</f>
        <v>19.701973602079256</v>
      </c>
      <c r="EK54" s="11">
        <f>EJ54*2.9</f>
        <v>57.13572344602984</v>
      </c>
      <c r="EL54" s="125">
        <f>DT54-EA54+EK54</f>
        <v>-1563.7620047106118</v>
      </c>
      <c r="EM54" s="22">
        <v>1</v>
      </c>
      <c r="EN54" s="7" t="s">
        <v>39</v>
      </c>
      <c r="EO54" s="12">
        <v>1</v>
      </c>
      <c r="EP54" s="7" t="s">
        <v>50</v>
      </c>
      <c r="EQ54" s="7" t="s">
        <v>5</v>
      </c>
      <c r="ER54" s="8">
        <v>43708</v>
      </c>
      <c r="ES54" s="16"/>
      <c r="ET54" s="7">
        <v>2130.61</v>
      </c>
      <c r="EU54" s="7"/>
      <c r="EV54" s="7"/>
      <c r="EW54" s="7"/>
      <c r="EX54" s="7"/>
      <c r="EY54" s="17">
        <f aca="true" t="shared" si="16" ref="EY54:EY83">ET54+EU54+EV54+EW54</f>
        <v>2130.61</v>
      </c>
      <c r="EZ54" s="18">
        <f>EY54-EG54</f>
        <v>11.170000000000073</v>
      </c>
      <c r="FA54" s="19">
        <f>$V$45/$U$45*EZ54</f>
        <v>1.272324929728258</v>
      </c>
      <c r="FB54" s="15">
        <f>EZ54+FA54</f>
        <v>12.442324929728331</v>
      </c>
      <c r="FC54" s="11">
        <f>FB54*2.9</f>
        <v>36.08274229621216</v>
      </c>
      <c r="FD54" s="21">
        <f>EL54-ES54+FC54</f>
        <v>-1527.6792624143995</v>
      </c>
      <c r="FE54" s="22">
        <v>1</v>
      </c>
      <c r="FF54" s="7" t="s">
        <v>39</v>
      </c>
      <c r="FG54" s="7">
        <v>1</v>
      </c>
      <c r="FH54" s="7" t="s">
        <v>50</v>
      </c>
      <c r="FI54" s="7" t="s">
        <v>5</v>
      </c>
      <c r="FJ54" s="8">
        <v>43735</v>
      </c>
      <c r="FK54" s="16"/>
      <c r="FL54" s="7">
        <v>2139.7</v>
      </c>
      <c r="FM54" s="7"/>
      <c r="FN54" s="7"/>
      <c r="FO54" s="7"/>
      <c r="FP54" s="7"/>
      <c r="FQ54" s="17">
        <v>2139.7</v>
      </c>
      <c r="FR54" s="18">
        <f>FQ54-EY54</f>
        <v>9.08999999999969</v>
      </c>
      <c r="FS54" s="19">
        <f>$V$46/$U$46*FR54</f>
        <v>0.06801587947408357</v>
      </c>
      <c r="FT54" s="15">
        <f>FR54+FS54</f>
        <v>9.158015879473774</v>
      </c>
      <c r="FU54" s="11">
        <f>FT54*2.9</f>
        <v>26.558246050473944</v>
      </c>
      <c r="FV54" s="128">
        <f aca="true" t="shared" si="17" ref="FV54:FV83">$AB$5/$AB$4*FU54</f>
        <v>-2.016776671936505</v>
      </c>
      <c r="FW54" s="13">
        <f>FU54+FV54</f>
        <v>24.54146937853744</v>
      </c>
      <c r="FX54" s="21">
        <f>FD54-FK54+FW54</f>
        <v>-1503.1377930358622</v>
      </c>
      <c r="FY54" s="22">
        <v>1</v>
      </c>
      <c r="FZ54" s="7" t="s">
        <v>39</v>
      </c>
      <c r="GA54" s="134">
        <v>1</v>
      </c>
      <c r="GB54" s="135" t="s">
        <v>50</v>
      </c>
      <c r="GC54" s="135" t="s">
        <v>5</v>
      </c>
      <c r="GD54" s="136">
        <v>43771</v>
      </c>
      <c r="GE54" s="138"/>
      <c r="GF54" s="139">
        <v>2197.4</v>
      </c>
      <c r="GG54" s="3"/>
      <c r="GH54" s="3"/>
      <c r="GI54" s="3"/>
      <c r="GJ54" s="3"/>
      <c r="GK54" s="32">
        <f aca="true" t="shared" si="18" ref="GK54:GK83">GF54+GG54+GH54+GI54</f>
        <v>2197.4</v>
      </c>
      <c r="GL54" s="18">
        <f>GK54-FQ54</f>
        <v>57.70000000000027</v>
      </c>
      <c r="GM54" s="19">
        <f>$V$47/$U$47*GL54</f>
        <v>-6.67605765617062</v>
      </c>
      <c r="GN54" s="15">
        <f>GL54+GM54</f>
        <v>51.02394234382965</v>
      </c>
      <c r="GO54" s="11">
        <f>GN54*2.9</f>
        <v>147.96943279710598</v>
      </c>
      <c r="GP54" s="7">
        <f aca="true" t="shared" si="19" ref="GP54:GP83">$AF$5/$AF$4*GO54</f>
        <v>-21.84918102508991</v>
      </c>
      <c r="GQ54" s="13">
        <f>GO54+GP54</f>
        <v>126.12025177201608</v>
      </c>
      <c r="GR54" s="46">
        <f>FX54-GE54+GQ54</f>
        <v>-1377.0175412638462</v>
      </c>
      <c r="GS54" s="22">
        <v>1</v>
      </c>
      <c r="GT54" s="7" t="s">
        <v>39</v>
      </c>
      <c r="GU54" s="148">
        <v>1</v>
      </c>
      <c r="GV54" s="148" t="s">
        <v>50</v>
      </c>
      <c r="GW54" s="148" t="s">
        <v>5</v>
      </c>
      <c r="GX54" s="155">
        <v>43799</v>
      </c>
      <c r="GY54" s="156"/>
      <c r="GZ54" s="148">
        <v>2219.96</v>
      </c>
      <c r="HA54" s="157"/>
      <c r="HB54" s="157"/>
      <c r="HC54" s="157"/>
      <c r="HD54" s="157"/>
      <c r="HE54" s="158">
        <f aca="true" t="shared" si="20" ref="HE54:HE83">GZ54+HA54+HB54+HC54</f>
        <v>2219.96</v>
      </c>
      <c r="HF54" s="18">
        <f>HE54-GK54</f>
        <v>22.559999999999945</v>
      </c>
      <c r="HG54" s="19">
        <f>$V$48/$U$48*HF54</f>
        <v>5.5294693711607446</v>
      </c>
      <c r="HH54" s="15">
        <f>HF54+HG54</f>
        <v>28.08946937116069</v>
      </c>
      <c r="HI54" s="11">
        <f>HH54*2.9</f>
        <v>81.45946117636599</v>
      </c>
      <c r="HJ54" s="7">
        <f>$AJ$5/$AJ$4*HI54</f>
        <v>-10.309981768169896</v>
      </c>
      <c r="HK54" s="13">
        <f>HI54+HJ54</f>
        <v>71.1494794081961</v>
      </c>
      <c r="HL54" s="46">
        <f>GR54-GY54+HK54</f>
        <v>-1305.86806185565</v>
      </c>
      <c r="HM54" s="22">
        <v>1</v>
      </c>
      <c r="HN54" s="7" t="s">
        <v>39</v>
      </c>
      <c r="HO54" s="12">
        <v>1</v>
      </c>
      <c r="HP54" s="7" t="s">
        <v>50</v>
      </c>
      <c r="HQ54" s="7" t="s">
        <v>5</v>
      </c>
      <c r="HR54" s="8">
        <v>43830</v>
      </c>
      <c r="HS54" s="171"/>
      <c r="HT54" s="7">
        <v>2219.96</v>
      </c>
      <c r="HU54" s="7"/>
      <c r="HV54" s="7"/>
      <c r="HW54" s="7"/>
      <c r="HX54" s="7"/>
      <c r="HY54" s="17">
        <v>2219.96</v>
      </c>
      <c r="HZ54" s="18">
        <f>HY54-HE54</f>
        <v>0</v>
      </c>
      <c r="IA54" s="19">
        <f>$V$50/$U$50*HZ54</f>
        <v>0</v>
      </c>
      <c r="IB54" s="20">
        <f>HZ54+IA54</f>
        <v>0</v>
      </c>
      <c r="IC54" s="11">
        <f>IB54*2.9</f>
        <v>0</v>
      </c>
      <c r="ID54" s="7">
        <f>$AN$5/$AN$4*IC54</f>
        <v>0</v>
      </c>
      <c r="IE54" s="13">
        <f>IC54+ID54</f>
        <v>0</v>
      </c>
      <c r="IF54" s="46">
        <f>HL54-HS54+IE54</f>
        <v>-1305.86806185565</v>
      </c>
      <c r="IG54" s="22">
        <v>1</v>
      </c>
      <c r="IH54" s="7" t="s">
        <v>39</v>
      </c>
    </row>
    <row r="55" spans="1:242" ht="23.25" customHeight="1">
      <c r="A55" s="10">
        <v>2</v>
      </c>
      <c r="B55" s="6" t="s">
        <v>51</v>
      </c>
      <c r="C55" s="6" t="s">
        <v>46</v>
      </c>
      <c r="D55" s="5">
        <v>43100</v>
      </c>
      <c r="E55" s="6">
        <v>3000</v>
      </c>
      <c r="F55" s="6">
        <v>3941.78</v>
      </c>
      <c r="H55" s="6">
        <v>3941.78</v>
      </c>
      <c r="J55" s="6">
        <v>322.77</v>
      </c>
      <c r="K55" s="6">
        <v>-46.327847437168856</v>
      </c>
      <c r="L55" s="6">
        <v>276.4421525628311</v>
      </c>
      <c r="M55" s="6">
        <v>732.5717042915023</v>
      </c>
      <c r="N55" s="6">
        <v>-471.1977520495768</v>
      </c>
      <c r="O55" s="10">
        <v>1</v>
      </c>
      <c r="P55" s="6" t="s">
        <v>39</v>
      </c>
      <c r="Q55" s="1">
        <v>2</v>
      </c>
      <c r="R55" s="56" t="s">
        <v>51</v>
      </c>
      <c r="S55" s="54">
        <v>8271.960000000001</v>
      </c>
      <c r="T55" s="55">
        <v>1624.8728213904706</v>
      </c>
      <c r="U55" s="2" t="s">
        <v>46</v>
      </c>
      <c r="V55" s="30">
        <v>43496</v>
      </c>
      <c r="W55" s="37"/>
      <c r="X55" s="31">
        <v>8694.3</v>
      </c>
      <c r="Y55" s="31"/>
      <c r="Z55" s="31"/>
      <c r="AA55" s="31"/>
      <c r="AB55" s="31">
        <v>6694.61</v>
      </c>
      <c r="AC55" s="57">
        <f t="shared" si="6"/>
        <v>8694.3</v>
      </c>
      <c r="AD55" s="34">
        <f t="shared" si="7"/>
        <v>422.3399999999983</v>
      </c>
      <c r="AE55" s="38">
        <f t="shared" si="8"/>
        <v>56.88612613217394</v>
      </c>
      <c r="AF55" s="39">
        <f t="shared" si="9"/>
        <v>479.2261261321723</v>
      </c>
      <c r="AG55" s="4">
        <f aca="true" t="shared" si="21" ref="AG55:AG83">AF55*2.77</f>
        <v>1327.4563693861173</v>
      </c>
      <c r="AH55" s="40">
        <f t="shared" si="10"/>
        <v>2952.329190776588</v>
      </c>
      <c r="AI55" s="41">
        <v>2</v>
      </c>
      <c r="AJ55" s="36" t="s">
        <v>39</v>
      </c>
      <c r="AK55" s="1">
        <v>2</v>
      </c>
      <c r="AL55" s="2" t="s">
        <v>51</v>
      </c>
      <c r="AM55" s="2" t="s">
        <v>46</v>
      </c>
      <c r="AN55" s="72">
        <v>43521</v>
      </c>
      <c r="AO55" s="73"/>
      <c r="AP55" s="74">
        <v>9119.380000000001</v>
      </c>
      <c r="AQ55" s="74"/>
      <c r="AR55" s="74"/>
      <c r="AS55" s="74"/>
      <c r="AT55" s="74">
        <v>6694.61</v>
      </c>
      <c r="AU55" s="79">
        <f t="shared" si="11"/>
        <v>9119.380000000001</v>
      </c>
      <c r="AV55" s="81">
        <f t="shared" si="12"/>
        <v>425.08000000000175</v>
      </c>
      <c r="AW55" s="80">
        <f t="shared" si="13"/>
        <v>220.78978953228463</v>
      </c>
      <c r="AX55" s="85">
        <f aca="true" t="shared" si="22" ref="AX55:AX83">AV55+AW55</f>
        <v>645.8697895322864</v>
      </c>
      <c r="AY55" s="91">
        <f aca="true" t="shared" si="23" ref="AY55:AY82">AX55*(51324+2188.81)/(18200+790.2)</f>
        <v>1820.0075476815002</v>
      </c>
      <c r="AZ55" s="88">
        <f aca="true" t="shared" si="24" ref="AZ55:AZ83">AH55-AO55+AY55</f>
        <v>4772.336738458088</v>
      </c>
      <c r="BA55" s="22">
        <v>2</v>
      </c>
      <c r="BB55" s="7" t="s">
        <v>39</v>
      </c>
      <c r="BC55" s="12">
        <v>2</v>
      </c>
      <c r="BD55" s="7" t="s">
        <v>51</v>
      </c>
      <c r="BE55" s="7" t="s">
        <v>46</v>
      </c>
      <c r="BF55" s="8">
        <v>43555</v>
      </c>
      <c r="BG55" s="16">
        <v>5000</v>
      </c>
      <c r="BH55" s="7">
        <v>9550.43</v>
      </c>
      <c r="BI55" s="7"/>
      <c r="BJ55" s="7"/>
      <c r="BK55" s="7"/>
      <c r="BL55" s="7">
        <v>6694.61</v>
      </c>
      <c r="BM55" s="17">
        <f t="shared" si="14"/>
        <v>9550.43</v>
      </c>
      <c r="BN55" s="18">
        <f aca="true" t="shared" si="25" ref="BN55:BN83">BM55-AU55</f>
        <v>431.0499999999993</v>
      </c>
      <c r="BO55" s="19">
        <f aca="true" t="shared" si="26" ref="BO55:BO83">$V$40/$U$40*BN55</f>
        <v>-127.76401141680566</v>
      </c>
      <c r="BP55" s="15">
        <f aca="true" t="shared" si="27" ref="BP55:BP83">BN55+BO55</f>
        <v>303.2859885831936</v>
      </c>
      <c r="BQ55" s="11">
        <f aca="true" t="shared" si="28" ref="BQ55:BQ83">BP55*2.82</f>
        <v>855.266487804606</v>
      </c>
      <c r="BR55" s="46">
        <f aca="true" t="shared" si="29" ref="BR55:BR83">AZ55-BG55+BQ55</f>
        <v>627.6032262626939</v>
      </c>
      <c r="BS55" s="22">
        <v>2</v>
      </c>
      <c r="BT55" s="7" t="s">
        <v>39</v>
      </c>
      <c r="BU55" s="12">
        <v>2</v>
      </c>
      <c r="BV55" s="7" t="s">
        <v>51</v>
      </c>
      <c r="BW55" s="7" t="s">
        <v>46</v>
      </c>
      <c r="BX55" s="8">
        <v>43585</v>
      </c>
      <c r="BY55" s="16"/>
      <c r="BZ55" s="7">
        <v>9913.73</v>
      </c>
      <c r="CA55" s="7"/>
      <c r="CB55" s="7"/>
      <c r="CC55" s="7"/>
      <c r="CD55" s="7">
        <v>6694.61</v>
      </c>
      <c r="CE55" s="17">
        <v>9913.73</v>
      </c>
      <c r="CF55" s="18">
        <f aca="true" t="shared" si="30" ref="CF55:CF83">CE55-BM55</f>
        <v>363.2999999999993</v>
      </c>
      <c r="CG55" s="19">
        <f aca="true" t="shared" si="31" ref="CG55:CG83">$V$41/$U$41*CF55</f>
        <v>19.510942581632207</v>
      </c>
      <c r="CH55" s="20">
        <f aca="true" t="shared" si="32" ref="CH55:CH83">CF55+CG55</f>
        <v>382.8109425816315</v>
      </c>
      <c r="CI55" s="11">
        <f aca="true" t="shared" si="33" ref="CI55:CI83">CH55*2.82</f>
        <v>1079.5268580802008</v>
      </c>
      <c r="CJ55" s="46">
        <f aca="true" t="shared" si="34" ref="CJ55:CJ83">BR55-BY55+CI55</f>
        <v>1707.1300843428946</v>
      </c>
      <c r="CK55" s="22">
        <v>2</v>
      </c>
      <c r="CL55" s="7" t="s">
        <v>39</v>
      </c>
      <c r="CM55" s="12">
        <v>2</v>
      </c>
      <c r="CN55" s="7" t="s">
        <v>51</v>
      </c>
      <c r="CO55" s="7" t="s">
        <v>46</v>
      </c>
      <c r="CP55" s="8">
        <v>43615</v>
      </c>
      <c r="CQ55" s="16">
        <v>2700</v>
      </c>
      <c r="CR55" s="7">
        <v>10264.69</v>
      </c>
      <c r="CS55" s="7"/>
      <c r="CT55" s="7"/>
      <c r="CU55" s="7"/>
      <c r="CV55" s="7">
        <v>6694.61</v>
      </c>
      <c r="CW55" s="17">
        <v>10264.69</v>
      </c>
      <c r="CX55" s="18">
        <f aca="true" t="shared" si="35" ref="CX55:CX83">CW55-CE55</f>
        <v>350.96000000000095</v>
      </c>
      <c r="CY55" s="19">
        <f aca="true" t="shared" si="36" ref="CY55:CY83">$V$42/$U$42*CX55</f>
        <v>151.1703300930467</v>
      </c>
      <c r="CZ55" s="15">
        <f aca="true" t="shared" si="37" ref="CZ55:CZ83">CX55+CY55</f>
        <v>502.13033009304763</v>
      </c>
      <c r="DA55" s="11">
        <f aca="true" t="shared" si="38" ref="DA55:DA83">CZ55*2.82</f>
        <v>1416.0075308623943</v>
      </c>
      <c r="DB55" s="46">
        <f aca="true" t="shared" si="39" ref="DB55:DB83">CJ55-CQ55+DA55</f>
        <v>423.13761520528897</v>
      </c>
      <c r="DC55" s="22">
        <v>2</v>
      </c>
      <c r="DD55" s="7" t="s">
        <v>39</v>
      </c>
      <c r="DE55" s="1">
        <v>2</v>
      </c>
      <c r="DF55" s="2" t="s">
        <v>51</v>
      </c>
      <c r="DG55" s="2" t="s">
        <v>46</v>
      </c>
      <c r="DH55" s="30">
        <v>43646</v>
      </c>
      <c r="DI55" s="37"/>
      <c r="DJ55" s="31">
        <v>10658.32</v>
      </c>
      <c r="DK55" s="58"/>
      <c r="DL55" s="58"/>
      <c r="DM55" s="58"/>
      <c r="DN55" s="35">
        <v>6694.61</v>
      </c>
      <c r="DO55" s="57">
        <f t="shared" si="15"/>
        <v>10658.32</v>
      </c>
      <c r="DP55" s="18">
        <f aca="true" t="shared" si="40" ref="DP55:DP83">DO55-CW55</f>
        <v>393.6299999999992</v>
      </c>
      <c r="DQ55" s="19">
        <f aca="true" t="shared" si="41" ref="DQ55:DQ83">$V$43/$U$43*DP55</f>
        <v>-7.270512829570607</v>
      </c>
      <c r="DR55" s="15">
        <f aca="true" t="shared" si="42" ref="DR55:DR83">DP55+DQ55</f>
        <v>386.35948717042857</v>
      </c>
      <c r="DS55" s="11">
        <f aca="true" t="shared" si="43" ref="DS55:DS83">DR55*2.82</f>
        <v>1089.5337538206086</v>
      </c>
      <c r="DT55" s="46">
        <f aca="true" t="shared" si="44" ref="DT55:DT83">DB55-DI55+DS55</f>
        <v>1512.6713690258975</v>
      </c>
      <c r="DU55" s="22">
        <v>2</v>
      </c>
      <c r="DV55" s="7" t="s">
        <v>39</v>
      </c>
      <c r="DW55" s="12">
        <v>2</v>
      </c>
      <c r="DX55" s="7" t="s">
        <v>51</v>
      </c>
      <c r="DY55" s="7" t="s">
        <v>145</v>
      </c>
      <c r="DZ55" s="8">
        <v>43677</v>
      </c>
      <c r="EA55" s="16"/>
      <c r="EB55" s="7">
        <v>153.06</v>
      </c>
      <c r="EC55" s="7"/>
      <c r="ED55" s="18">
        <v>10906.67</v>
      </c>
      <c r="EE55" s="7"/>
      <c r="EF55" s="7">
        <v>6694.61</v>
      </c>
      <c r="EG55" s="17">
        <v>11059.73</v>
      </c>
      <c r="EH55" s="18">
        <f aca="true" t="shared" si="45" ref="EH55:EH83">EG55-DO55</f>
        <v>401.40999999999985</v>
      </c>
      <c r="EI55" s="19">
        <f aca="true" t="shared" si="46" ref="EI55:EI83">EH55*$V$44/$U$44</f>
        <v>69.33816807205648</v>
      </c>
      <c r="EJ55" s="15">
        <f aca="true" t="shared" si="47" ref="EJ55:EJ83">EH55+EI55</f>
        <v>470.74816807205633</v>
      </c>
      <c r="EK55" s="11">
        <f aca="true" t="shared" si="48" ref="EK55:EK83">EJ55*2.9</f>
        <v>1365.1696874089632</v>
      </c>
      <c r="EL55" s="125">
        <f aca="true" t="shared" si="49" ref="EL55:EL83">DT55-EA55+EK55</f>
        <v>2877.8410564348605</v>
      </c>
      <c r="EM55" s="22">
        <v>2</v>
      </c>
      <c r="EN55" s="7" t="s">
        <v>150</v>
      </c>
      <c r="EO55" s="12">
        <v>2</v>
      </c>
      <c r="EP55" s="7" t="s">
        <v>51</v>
      </c>
      <c r="EQ55" s="7" t="s">
        <v>145</v>
      </c>
      <c r="ER55" s="8">
        <v>43708</v>
      </c>
      <c r="ES55" s="16">
        <v>2300</v>
      </c>
      <c r="ET55" s="7">
        <v>579.5</v>
      </c>
      <c r="EU55" s="7"/>
      <c r="EV55" s="7">
        <f>10906.67</f>
        <v>10906.67</v>
      </c>
      <c r="EW55" s="7"/>
      <c r="EX55" s="7">
        <v>6694.61</v>
      </c>
      <c r="EY55" s="17">
        <f t="shared" si="16"/>
        <v>11486.17</v>
      </c>
      <c r="EZ55" s="18">
        <f aca="true" t="shared" si="50" ref="EZ55:EZ83">EY55-EG55</f>
        <v>426.4400000000005</v>
      </c>
      <c r="FA55" s="19">
        <f aca="true" t="shared" si="51" ref="FA55:FA83">$V$45/$U$45*EZ55</f>
        <v>48.573880307369336</v>
      </c>
      <c r="FB55" s="15">
        <f aca="true" t="shared" si="52" ref="FB55:FB83">EZ55+FA55</f>
        <v>475.01388030736985</v>
      </c>
      <c r="FC55" s="11">
        <f aca="true" t="shared" si="53" ref="FC55:FC83">FB55*2.9</f>
        <v>1377.5402528913726</v>
      </c>
      <c r="FD55" s="21">
        <f aca="true" t="shared" si="54" ref="FD55:FD83">EL55-ES55+FC55</f>
        <v>1955.3813093262331</v>
      </c>
      <c r="FE55" s="22">
        <v>2</v>
      </c>
      <c r="FF55" s="7" t="s">
        <v>154</v>
      </c>
      <c r="FG55" s="7">
        <v>2</v>
      </c>
      <c r="FH55" s="7" t="s">
        <v>51</v>
      </c>
      <c r="FI55" s="7" t="s">
        <v>145</v>
      </c>
      <c r="FJ55" s="8">
        <v>43738</v>
      </c>
      <c r="FK55" s="16">
        <v>2000</v>
      </c>
      <c r="FL55" s="7">
        <v>1071.6</v>
      </c>
      <c r="FM55" s="7"/>
      <c r="FN55" s="7">
        <v>10906.67</v>
      </c>
      <c r="FO55" s="7"/>
      <c r="FP55" s="7">
        <v>6694.61</v>
      </c>
      <c r="FQ55" s="17">
        <v>11978.27</v>
      </c>
      <c r="FR55" s="18">
        <f aca="true" t="shared" si="55" ref="FR55:FR83">FQ55-EY55</f>
        <v>492.10000000000036</v>
      </c>
      <c r="FS55" s="19">
        <f aca="true" t="shared" si="56" ref="FS55:FS83">$V$46/$U$46*FR55</f>
        <v>3.6821357853902845</v>
      </c>
      <c r="FT55" s="15">
        <f aca="true" t="shared" si="57" ref="FT55:FT83">FR55+FS55</f>
        <v>495.78213578539066</v>
      </c>
      <c r="FU55" s="11">
        <f aca="true" t="shared" si="58" ref="FU55:FU83">FT55*2.9</f>
        <v>1437.7681937776329</v>
      </c>
      <c r="FV55" s="128">
        <f t="shared" si="17"/>
        <v>-109.18105613421216</v>
      </c>
      <c r="FW55" s="13">
        <f aca="true" t="shared" si="59" ref="FW55:FW83">FU55+FV55</f>
        <v>1328.5871376434206</v>
      </c>
      <c r="FX55" s="21">
        <f aca="true" t="shared" si="60" ref="FX55:FX83">FD55-FK55+FW55</f>
        <v>1283.9684469696538</v>
      </c>
      <c r="FY55" s="22">
        <v>2</v>
      </c>
      <c r="FZ55" s="7" t="s">
        <v>39</v>
      </c>
      <c r="GA55" s="134">
        <v>2</v>
      </c>
      <c r="GB55" s="135" t="s">
        <v>51</v>
      </c>
      <c r="GC55" s="135" t="s">
        <v>145</v>
      </c>
      <c r="GD55" s="136">
        <v>43771</v>
      </c>
      <c r="GE55" s="138"/>
      <c r="GF55" s="140">
        <v>1538.3</v>
      </c>
      <c r="GG55" s="3"/>
      <c r="GH55" s="3">
        <f>10906.67</f>
        <v>10906.67</v>
      </c>
      <c r="GI55" s="3"/>
      <c r="GJ55" s="3">
        <v>6694.61</v>
      </c>
      <c r="GK55" s="32">
        <f t="shared" si="18"/>
        <v>12444.97</v>
      </c>
      <c r="GL55" s="18">
        <f aca="true" t="shared" si="61" ref="GL55:GL83">GK55-FQ55</f>
        <v>466.6999999999989</v>
      </c>
      <c r="GM55" s="19">
        <f aca="true" t="shared" si="62" ref="GM55:GM83">$V$47/$U$47*GL55</f>
        <v>-53.99854606819422</v>
      </c>
      <c r="GN55" s="15">
        <f aca="true" t="shared" si="63" ref="GN55:GN83">GL55+GM55</f>
        <v>412.7014539318047</v>
      </c>
      <c r="GO55" s="11">
        <f aca="true" t="shared" si="64" ref="GO55:GO83">GN55*2.9</f>
        <v>1196.8342164022336</v>
      </c>
      <c r="GP55" s="7">
        <f t="shared" si="19"/>
        <v>-176.7246583086549</v>
      </c>
      <c r="GQ55" s="13">
        <f aca="true" t="shared" si="65" ref="GQ55:GQ83">GO55+GP55</f>
        <v>1020.1095580935787</v>
      </c>
      <c r="GR55" s="46">
        <f aca="true" t="shared" si="66" ref="GR55:GR83">FX55-GE55+GQ55</f>
        <v>2304.0780050632325</v>
      </c>
      <c r="GS55" s="22">
        <v>2</v>
      </c>
      <c r="GT55" s="7" t="s">
        <v>39</v>
      </c>
      <c r="GU55" s="148">
        <v>2</v>
      </c>
      <c r="GV55" s="148" t="s">
        <v>51</v>
      </c>
      <c r="GW55" s="148" t="s">
        <v>145</v>
      </c>
      <c r="GX55" s="155">
        <v>43799</v>
      </c>
      <c r="GY55" s="156">
        <v>2500</v>
      </c>
      <c r="GZ55" s="148">
        <v>1904.11</v>
      </c>
      <c r="HA55" s="157"/>
      <c r="HB55" s="157">
        <f>10906.67</f>
        <v>10906.67</v>
      </c>
      <c r="HC55" s="157"/>
      <c r="HD55" s="157">
        <v>6694.61</v>
      </c>
      <c r="HE55" s="158">
        <f t="shared" si="20"/>
        <v>12810.78</v>
      </c>
      <c r="HF55" s="18">
        <f aca="true" t="shared" si="67" ref="HF55:HF83">HE55-GK55</f>
        <v>365.8100000000013</v>
      </c>
      <c r="HG55" s="19">
        <f aca="true" t="shared" si="68" ref="HG55:HG83">$V$48/$U$48*HF55</f>
        <v>89.66024781313493</v>
      </c>
      <c r="HH55" s="15">
        <f aca="true" t="shared" si="69" ref="HH55:HH83">HF55+HG55</f>
        <v>455.4702478131362</v>
      </c>
      <c r="HI55" s="11">
        <f aca="true" t="shared" si="70" ref="HI55:HI83">HH55*2.9</f>
        <v>1320.863718658095</v>
      </c>
      <c r="HJ55" s="7">
        <f aca="true" t="shared" si="71" ref="HJ55:HJ83">$AJ$5/$AJ$4*HI55</f>
        <v>-167.1761715697807</v>
      </c>
      <c r="HK55" s="13">
        <f aca="true" t="shared" si="72" ref="HK55:HK83">HI55+HJ55</f>
        <v>1153.6875470883142</v>
      </c>
      <c r="HL55" s="46">
        <f aca="true" t="shared" si="73" ref="HL55:HL83">GR55-GY55+HK55</f>
        <v>957.7655521515467</v>
      </c>
      <c r="HM55" s="22">
        <v>2</v>
      </c>
      <c r="HN55" s="7" t="s">
        <v>39</v>
      </c>
      <c r="HO55" s="12">
        <v>2</v>
      </c>
      <c r="HP55" s="7" t="s">
        <v>51</v>
      </c>
      <c r="HQ55" s="7" t="s">
        <v>145</v>
      </c>
      <c r="HR55" s="8">
        <v>43830</v>
      </c>
      <c r="HS55" s="171">
        <v>2000</v>
      </c>
      <c r="HT55" s="7">
        <v>2337.14</v>
      </c>
      <c r="HU55" s="7"/>
      <c r="HV55" s="7">
        <v>10906.67</v>
      </c>
      <c r="HW55" s="7"/>
      <c r="HX55" s="7">
        <v>6694.61</v>
      </c>
      <c r="HY55" s="17">
        <v>13243.81</v>
      </c>
      <c r="HZ55" s="18">
        <f aca="true" t="shared" si="74" ref="HZ55:HZ83">HY55-HE55</f>
        <v>433.02999999999884</v>
      </c>
      <c r="IA55" s="19">
        <f aca="true" t="shared" si="75" ref="IA55:IA83">$V$50/$U$50*HZ55</f>
        <v>51.96359999999989</v>
      </c>
      <c r="IB55" s="20">
        <f aca="true" t="shared" si="76" ref="IB55:IB83">HZ55+IA55</f>
        <v>484.9935999999987</v>
      </c>
      <c r="IC55" s="11">
        <f aca="true" t="shared" si="77" ref="IC55:IC83">IB55*2.9</f>
        <v>1406.4814399999962</v>
      </c>
      <c r="ID55" s="7">
        <f aca="true" t="shared" si="78" ref="ID55:ID83">$AN$5/$AN$4*IC55</f>
        <v>-143.0701825813321</v>
      </c>
      <c r="IE55" s="13">
        <f aca="true" t="shared" si="79" ref="IE55:IE83">IC55+ID55</f>
        <v>1263.411257418664</v>
      </c>
      <c r="IF55" s="46">
        <f aca="true" t="shared" si="80" ref="IF55:IF83">HL55-HS55+IE55</f>
        <v>221.1768095702107</v>
      </c>
      <c r="IG55" s="22">
        <v>2</v>
      </c>
      <c r="IH55" s="7" t="s">
        <v>39</v>
      </c>
    </row>
    <row r="56" spans="1:242" ht="19.5" customHeight="1">
      <c r="A56" s="10">
        <v>3</v>
      </c>
      <c r="B56" s="6" t="s">
        <v>52</v>
      </c>
      <c r="C56" s="6" t="s">
        <v>22</v>
      </c>
      <c r="D56" s="5">
        <v>43100</v>
      </c>
      <c r="F56" s="6">
        <v>14.66</v>
      </c>
      <c r="H56" s="6">
        <v>14.66</v>
      </c>
      <c r="J56" s="6">
        <v>0.09999999999999964</v>
      </c>
      <c r="K56" s="6">
        <v>-0.014353207372794465</v>
      </c>
      <c r="L56" s="6">
        <v>0.08564679262720518</v>
      </c>
      <c r="M56" s="6">
        <v>0.2269640004620937</v>
      </c>
      <c r="N56" s="6">
        <v>39.26833850981215</v>
      </c>
      <c r="O56" s="10">
        <v>1</v>
      </c>
      <c r="P56" s="6" t="s">
        <v>39</v>
      </c>
      <c r="Q56" s="1">
        <v>3</v>
      </c>
      <c r="R56" s="56" t="s">
        <v>52</v>
      </c>
      <c r="S56" s="54">
        <v>16.02</v>
      </c>
      <c r="T56" s="55">
        <v>-23.646798426046164</v>
      </c>
      <c r="U56" s="2" t="s">
        <v>22</v>
      </c>
      <c r="V56" s="30">
        <v>43496</v>
      </c>
      <c r="W56" s="37"/>
      <c r="X56" s="31">
        <v>16.02</v>
      </c>
      <c r="Y56" s="31"/>
      <c r="Z56" s="31"/>
      <c r="AA56" s="31"/>
      <c r="AB56" s="31"/>
      <c r="AC56" s="57">
        <f t="shared" si="6"/>
        <v>16.02</v>
      </c>
      <c r="AD56" s="34">
        <f t="shared" si="7"/>
        <v>0</v>
      </c>
      <c r="AE56" s="38">
        <f t="shared" si="8"/>
        <v>0</v>
      </c>
      <c r="AF56" s="39">
        <f t="shared" si="9"/>
        <v>0</v>
      </c>
      <c r="AG56" s="4">
        <f t="shared" si="21"/>
        <v>0</v>
      </c>
      <c r="AH56" s="40">
        <f t="shared" si="10"/>
        <v>-23.646798426046164</v>
      </c>
      <c r="AI56" s="41">
        <v>1</v>
      </c>
      <c r="AJ56" s="36" t="s">
        <v>39</v>
      </c>
      <c r="AK56" s="1">
        <v>3</v>
      </c>
      <c r="AL56" s="2" t="s">
        <v>52</v>
      </c>
      <c r="AM56" s="2" t="s">
        <v>22</v>
      </c>
      <c r="AN56" s="72">
        <v>43521</v>
      </c>
      <c r="AO56" s="73"/>
      <c r="AP56" s="74">
        <v>16.02</v>
      </c>
      <c r="AQ56" s="74"/>
      <c r="AR56" s="74"/>
      <c r="AS56" s="74"/>
      <c r="AT56" s="74"/>
      <c r="AU56" s="79">
        <f t="shared" si="11"/>
        <v>16.02</v>
      </c>
      <c r="AV56" s="81">
        <f t="shared" si="12"/>
        <v>0</v>
      </c>
      <c r="AW56" s="80">
        <f t="shared" si="13"/>
        <v>0</v>
      </c>
      <c r="AX56" s="85">
        <f t="shared" si="22"/>
        <v>0</v>
      </c>
      <c r="AY56" s="91">
        <f t="shared" si="23"/>
        <v>0</v>
      </c>
      <c r="AZ56" s="88">
        <f t="shared" si="24"/>
        <v>-23.646798426046164</v>
      </c>
      <c r="BA56" s="22">
        <v>1</v>
      </c>
      <c r="BB56" s="7" t="s">
        <v>39</v>
      </c>
      <c r="BC56" s="12">
        <v>3</v>
      </c>
      <c r="BD56" s="7" t="s">
        <v>52</v>
      </c>
      <c r="BE56" s="7" t="s">
        <v>22</v>
      </c>
      <c r="BF56" s="8">
        <v>43555</v>
      </c>
      <c r="BG56" s="16"/>
      <c r="BH56" s="7">
        <v>16.04</v>
      </c>
      <c r="BI56" s="7"/>
      <c r="BJ56" s="7"/>
      <c r="BK56" s="7"/>
      <c r="BL56" s="7"/>
      <c r="BM56" s="17">
        <f t="shared" si="14"/>
        <v>16.04</v>
      </c>
      <c r="BN56" s="18">
        <f t="shared" si="25"/>
        <v>0.019999999999999574</v>
      </c>
      <c r="BO56" s="19">
        <f t="shared" si="26"/>
        <v>-0.005928036720417731</v>
      </c>
      <c r="BP56" s="15">
        <f t="shared" si="27"/>
        <v>0.014071963279581844</v>
      </c>
      <c r="BQ56" s="11">
        <f t="shared" si="28"/>
        <v>0.039682936448420796</v>
      </c>
      <c r="BR56" s="46">
        <f t="shared" si="29"/>
        <v>-23.607115489597742</v>
      </c>
      <c r="BS56" s="22">
        <v>1</v>
      </c>
      <c r="BT56" s="7" t="s">
        <v>39</v>
      </c>
      <c r="BU56" s="12">
        <v>3</v>
      </c>
      <c r="BV56" s="7" t="s">
        <v>52</v>
      </c>
      <c r="BW56" s="7" t="s">
        <v>22</v>
      </c>
      <c r="BX56" s="8">
        <v>43585</v>
      </c>
      <c r="BY56" s="16"/>
      <c r="BZ56" s="7">
        <v>16.04</v>
      </c>
      <c r="CA56" s="7"/>
      <c r="CB56" s="7"/>
      <c r="CC56" s="7"/>
      <c r="CD56" s="7"/>
      <c r="CE56" s="17">
        <v>16.04</v>
      </c>
      <c r="CF56" s="18">
        <f t="shared" si="30"/>
        <v>0</v>
      </c>
      <c r="CG56" s="19">
        <f t="shared" si="31"/>
        <v>0</v>
      </c>
      <c r="CH56" s="20">
        <f t="shared" si="32"/>
        <v>0</v>
      </c>
      <c r="CI56" s="11">
        <f t="shared" si="33"/>
        <v>0</v>
      </c>
      <c r="CJ56" s="46">
        <f t="shared" si="34"/>
        <v>-23.607115489597742</v>
      </c>
      <c r="CK56" s="22">
        <v>1</v>
      </c>
      <c r="CL56" s="7" t="s">
        <v>39</v>
      </c>
      <c r="CM56" s="12">
        <v>3</v>
      </c>
      <c r="CN56" s="7" t="s">
        <v>52</v>
      </c>
      <c r="CO56" s="7" t="s">
        <v>22</v>
      </c>
      <c r="CP56" s="8">
        <v>43615</v>
      </c>
      <c r="CQ56" s="16"/>
      <c r="CR56" s="7">
        <v>16.19</v>
      </c>
      <c r="CS56" s="7"/>
      <c r="CT56" s="7"/>
      <c r="CU56" s="7"/>
      <c r="CV56" s="7"/>
      <c r="CW56" s="17">
        <v>16.19</v>
      </c>
      <c r="CX56" s="18">
        <f t="shared" si="35"/>
        <v>0.15000000000000213</v>
      </c>
      <c r="CY56" s="19">
        <f t="shared" si="36"/>
        <v>0.06461006813869748</v>
      </c>
      <c r="CZ56" s="15">
        <f t="shared" si="37"/>
        <v>0.2146100681386996</v>
      </c>
      <c r="DA56" s="11">
        <f t="shared" si="38"/>
        <v>0.6052003921511329</v>
      </c>
      <c r="DB56" s="46">
        <f t="shared" si="39"/>
        <v>-23.00191509744661</v>
      </c>
      <c r="DC56" s="22">
        <v>1</v>
      </c>
      <c r="DD56" s="7" t="s">
        <v>39</v>
      </c>
      <c r="DE56" s="1">
        <v>3</v>
      </c>
      <c r="DF56" s="2" t="s">
        <v>52</v>
      </c>
      <c r="DG56" s="2" t="s">
        <v>22</v>
      </c>
      <c r="DH56" s="30">
        <v>43646</v>
      </c>
      <c r="DI56" s="37"/>
      <c r="DJ56" s="31">
        <v>17.12</v>
      </c>
      <c r="DK56" s="58"/>
      <c r="DL56" s="58"/>
      <c r="DM56" s="58"/>
      <c r="DN56" s="35"/>
      <c r="DO56" s="57">
        <f t="shared" si="15"/>
        <v>17.12</v>
      </c>
      <c r="DP56" s="18">
        <f t="shared" si="40"/>
        <v>0.9299999999999997</v>
      </c>
      <c r="DQ56" s="19">
        <f t="shared" si="41"/>
        <v>-0.01717749391941843</v>
      </c>
      <c r="DR56" s="15">
        <f t="shared" si="42"/>
        <v>0.9128225060805812</v>
      </c>
      <c r="DS56" s="11">
        <f t="shared" si="43"/>
        <v>2.574159467147239</v>
      </c>
      <c r="DT56" s="46">
        <f t="shared" si="44"/>
        <v>-20.42775563029937</v>
      </c>
      <c r="DU56" s="22">
        <v>1</v>
      </c>
      <c r="DV56" s="7" t="s">
        <v>39</v>
      </c>
      <c r="DW56" s="12">
        <v>3</v>
      </c>
      <c r="DX56" s="7" t="s">
        <v>52</v>
      </c>
      <c r="DY56" s="7" t="s">
        <v>22</v>
      </c>
      <c r="DZ56" s="8">
        <v>43677</v>
      </c>
      <c r="EA56" s="16"/>
      <c r="EB56" s="7">
        <v>17.14</v>
      </c>
      <c r="EC56" s="7"/>
      <c r="ED56" s="7"/>
      <c r="EE56" s="7"/>
      <c r="EF56" s="7"/>
      <c r="EG56" s="17">
        <v>17.14</v>
      </c>
      <c r="EH56" s="18">
        <f t="shared" si="45"/>
        <v>0.019999999999999574</v>
      </c>
      <c r="EI56" s="19">
        <f t="shared" si="46"/>
        <v>0.0034547304786654554</v>
      </c>
      <c r="EJ56" s="15">
        <f t="shared" si="47"/>
        <v>0.023454730478665028</v>
      </c>
      <c r="EK56" s="11">
        <f t="shared" si="48"/>
        <v>0.06801871838812858</v>
      </c>
      <c r="EL56" s="125">
        <f t="shared" si="49"/>
        <v>-20.35973691191124</v>
      </c>
      <c r="EM56" s="22">
        <v>1</v>
      </c>
      <c r="EN56" s="7" t="s">
        <v>39</v>
      </c>
      <c r="EO56" s="12">
        <v>3</v>
      </c>
      <c r="EP56" s="7" t="s">
        <v>52</v>
      </c>
      <c r="EQ56" s="7" t="s">
        <v>22</v>
      </c>
      <c r="ER56" s="8">
        <v>43708</v>
      </c>
      <c r="ES56" s="16"/>
      <c r="ET56" s="7">
        <v>18.11</v>
      </c>
      <c r="EU56" s="7"/>
      <c r="EV56" s="7"/>
      <c r="EW56" s="7"/>
      <c r="EX56" s="7"/>
      <c r="EY56" s="17">
        <f t="shared" si="16"/>
        <v>18.11</v>
      </c>
      <c r="EZ56" s="18">
        <f t="shared" si="50"/>
        <v>0.9699999999999989</v>
      </c>
      <c r="FA56" s="19">
        <f t="shared" si="51"/>
        <v>0.11048837796207706</v>
      </c>
      <c r="FB56" s="15">
        <f t="shared" si="52"/>
        <v>1.080488377962076</v>
      </c>
      <c r="FC56" s="11">
        <f t="shared" si="53"/>
        <v>3.13341629609002</v>
      </c>
      <c r="FD56" s="21">
        <f t="shared" si="54"/>
        <v>-17.226320615821223</v>
      </c>
      <c r="FE56" s="22">
        <v>1</v>
      </c>
      <c r="FF56" s="7" t="s">
        <v>39</v>
      </c>
      <c r="FG56" s="7">
        <v>3</v>
      </c>
      <c r="FH56" s="7" t="s">
        <v>52</v>
      </c>
      <c r="FI56" s="7" t="s">
        <v>22</v>
      </c>
      <c r="FJ56" s="8">
        <v>43735</v>
      </c>
      <c r="FK56" s="16"/>
      <c r="FL56" s="7">
        <v>18.16</v>
      </c>
      <c r="FM56" s="7"/>
      <c r="FN56" s="7"/>
      <c r="FO56" s="7"/>
      <c r="FP56" s="7"/>
      <c r="FQ56" s="17">
        <v>18.16</v>
      </c>
      <c r="FR56" s="18">
        <f t="shared" si="55"/>
        <v>0.05000000000000071</v>
      </c>
      <c r="FS56" s="19">
        <f t="shared" si="56"/>
        <v>0.0003741247495824359</v>
      </c>
      <c r="FT56" s="15">
        <f t="shared" si="57"/>
        <v>0.050374124749583145</v>
      </c>
      <c r="FU56" s="11">
        <f t="shared" si="58"/>
        <v>0.14608496177379113</v>
      </c>
      <c r="FV56" s="128">
        <f t="shared" si="17"/>
        <v>-0.011093381033754688</v>
      </c>
      <c r="FW56" s="13">
        <f t="shared" si="59"/>
        <v>0.13499158074003645</v>
      </c>
      <c r="FX56" s="21">
        <f t="shared" si="60"/>
        <v>-17.091329035081188</v>
      </c>
      <c r="FY56" s="22">
        <v>1</v>
      </c>
      <c r="FZ56" s="7" t="s">
        <v>39</v>
      </c>
      <c r="GA56" s="134">
        <v>3</v>
      </c>
      <c r="GB56" s="135" t="s">
        <v>52</v>
      </c>
      <c r="GC56" s="135" t="s">
        <v>22</v>
      </c>
      <c r="GD56" s="136">
        <v>43771</v>
      </c>
      <c r="GE56" s="138"/>
      <c r="GF56" s="139">
        <v>18.16</v>
      </c>
      <c r="GG56" s="3"/>
      <c r="GH56" s="3"/>
      <c r="GI56" s="3"/>
      <c r="GJ56" s="3"/>
      <c r="GK56" s="32">
        <f t="shared" si="18"/>
        <v>18.16</v>
      </c>
      <c r="GL56" s="18">
        <f t="shared" si="61"/>
        <v>0</v>
      </c>
      <c r="GM56" s="19">
        <f t="shared" si="62"/>
        <v>0</v>
      </c>
      <c r="GN56" s="15">
        <f t="shared" si="63"/>
        <v>0</v>
      </c>
      <c r="GO56" s="11">
        <f t="shared" si="64"/>
        <v>0</v>
      </c>
      <c r="GP56" s="7">
        <f t="shared" si="19"/>
        <v>0</v>
      </c>
      <c r="GQ56" s="13">
        <f t="shared" si="65"/>
        <v>0</v>
      </c>
      <c r="GR56" s="46">
        <f t="shared" si="66"/>
        <v>-17.091329035081188</v>
      </c>
      <c r="GS56" s="22">
        <v>1</v>
      </c>
      <c r="GT56" s="7" t="s">
        <v>39</v>
      </c>
      <c r="GU56" s="148">
        <v>3</v>
      </c>
      <c r="GV56" s="148" t="s">
        <v>52</v>
      </c>
      <c r="GW56" s="148" t="s">
        <v>22</v>
      </c>
      <c r="GX56" s="155">
        <v>43799</v>
      </c>
      <c r="GY56" s="156"/>
      <c r="GZ56" s="148">
        <v>18.16</v>
      </c>
      <c r="HA56" s="157"/>
      <c r="HB56" s="157"/>
      <c r="HC56" s="157"/>
      <c r="HD56" s="157"/>
      <c r="HE56" s="158">
        <f t="shared" si="20"/>
        <v>18.16</v>
      </c>
      <c r="HF56" s="18">
        <f t="shared" si="67"/>
        <v>0</v>
      </c>
      <c r="HG56" s="19">
        <f t="shared" si="68"/>
        <v>0</v>
      </c>
      <c r="HH56" s="15">
        <f t="shared" si="69"/>
        <v>0</v>
      </c>
      <c r="HI56" s="11">
        <f t="shared" si="70"/>
        <v>0</v>
      </c>
      <c r="HJ56" s="7">
        <f t="shared" si="71"/>
        <v>0</v>
      </c>
      <c r="HK56" s="13">
        <f t="shared" si="72"/>
        <v>0</v>
      </c>
      <c r="HL56" s="46">
        <f t="shared" si="73"/>
        <v>-17.091329035081188</v>
      </c>
      <c r="HM56" s="22">
        <v>1</v>
      </c>
      <c r="HN56" s="7" t="s">
        <v>39</v>
      </c>
      <c r="HO56" s="12">
        <v>3</v>
      </c>
      <c r="HP56" s="7" t="s">
        <v>52</v>
      </c>
      <c r="HQ56" s="7" t="s">
        <v>22</v>
      </c>
      <c r="HR56" s="8">
        <v>43830</v>
      </c>
      <c r="HS56" s="171"/>
      <c r="HT56" s="7">
        <v>18.17</v>
      </c>
      <c r="HU56" s="7"/>
      <c r="HV56" s="7"/>
      <c r="HW56" s="7"/>
      <c r="HX56" s="7"/>
      <c r="HY56" s="17">
        <v>18.17</v>
      </c>
      <c r="HZ56" s="18">
        <f t="shared" si="74"/>
        <v>0.010000000000001563</v>
      </c>
      <c r="IA56" s="19">
        <f t="shared" si="75"/>
        <v>0.0012000000000001883</v>
      </c>
      <c r="IB56" s="20">
        <f t="shared" si="76"/>
        <v>0.011200000000001752</v>
      </c>
      <c r="IC56" s="11">
        <f t="shared" si="77"/>
        <v>0.03248000000000508</v>
      </c>
      <c r="ID56" s="7">
        <f t="shared" si="78"/>
        <v>-0.0033039323506767397</v>
      </c>
      <c r="IE56" s="13">
        <f t="shared" si="79"/>
        <v>0.02917606764932834</v>
      </c>
      <c r="IF56" s="46">
        <f t="shared" si="80"/>
        <v>-17.06215296743186</v>
      </c>
      <c r="IG56" s="22">
        <v>1</v>
      </c>
      <c r="IH56" s="7" t="s">
        <v>39</v>
      </c>
    </row>
    <row r="57" spans="1:242" ht="19.5" customHeight="1">
      <c r="A57" s="10">
        <v>4</v>
      </c>
      <c r="B57" s="6" t="s">
        <v>53</v>
      </c>
      <c r="C57" s="6" t="s">
        <v>7</v>
      </c>
      <c r="D57" s="5">
        <v>43100</v>
      </c>
      <c r="F57" s="6">
        <v>751.88</v>
      </c>
      <c r="H57" s="6">
        <v>751.88</v>
      </c>
      <c r="J57" s="6">
        <v>11.079999999999927</v>
      </c>
      <c r="K57" s="6">
        <v>-1.5903353769056219</v>
      </c>
      <c r="L57" s="6">
        <v>9.489664623094306</v>
      </c>
      <c r="M57" s="6">
        <v>25.147611251199912</v>
      </c>
      <c r="N57" s="6">
        <v>-326.3238537786651</v>
      </c>
      <c r="O57" s="10">
        <v>1</v>
      </c>
      <c r="P57" s="6" t="s">
        <v>39</v>
      </c>
      <c r="Q57" s="1">
        <v>4</v>
      </c>
      <c r="R57" s="56" t="s">
        <v>53</v>
      </c>
      <c r="S57" s="54">
        <v>971.5600000000001</v>
      </c>
      <c r="T57" s="55">
        <v>117.05563226848993</v>
      </c>
      <c r="U57" s="2" t="s">
        <v>7</v>
      </c>
      <c r="V57" s="30">
        <v>43496</v>
      </c>
      <c r="W57" s="37"/>
      <c r="X57" s="31">
        <v>976.0600000000001</v>
      </c>
      <c r="Y57" s="31"/>
      <c r="Z57" s="31"/>
      <c r="AA57" s="31"/>
      <c r="AB57" s="31"/>
      <c r="AC57" s="57">
        <f t="shared" si="6"/>
        <v>976.0600000000001</v>
      </c>
      <c r="AD57" s="34">
        <f t="shared" si="7"/>
        <v>4.5</v>
      </c>
      <c r="AE57" s="38">
        <f t="shared" si="8"/>
        <v>0.6061172694861574</v>
      </c>
      <c r="AF57" s="39">
        <f t="shared" si="9"/>
        <v>5.106117269486157</v>
      </c>
      <c r="AG57" s="4">
        <f t="shared" si="21"/>
        <v>14.143944836476656</v>
      </c>
      <c r="AH57" s="40">
        <f t="shared" si="10"/>
        <v>131.19957710496658</v>
      </c>
      <c r="AI57" s="41">
        <v>1</v>
      </c>
      <c r="AJ57" s="36" t="s">
        <v>39</v>
      </c>
      <c r="AK57" s="1">
        <v>4</v>
      </c>
      <c r="AL57" s="2" t="s">
        <v>53</v>
      </c>
      <c r="AM57" s="2" t="s">
        <v>7</v>
      </c>
      <c r="AN57" s="72">
        <v>43521</v>
      </c>
      <c r="AO57" s="73"/>
      <c r="AP57" s="74">
        <v>979.86</v>
      </c>
      <c r="AQ57" s="74"/>
      <c r="AR57" s="74"/>
      <c r="AS57" s="74"/>
      <c r="AT57" s="74"/>
      <c r="AU57" s="79">
        <f t="shared" si="11"/>
        <v>979.86</v>
      </c>
      <c r="AV57" s="81">
        <f t="shared" si="12"/>
        <v>3.7999999999999545</v>
      </c>
      <c r="AW57" s="80">
        <f t="shared" si="13"/>
        <v>1.9737489418995673</v>
      </c>
      <c r="AX57" s="85">
        <f t="shared" si="22"/>
        <v>5.773748941899521</v>
      </c>
      <c r="AY57" s="91">
        <f t="shared" si="23"/>
        <v>16.26994608353625</v>
      </c>
      <c r="AZ57" s="88">
        <f t="shared" si="24"/>
        <v>147.46952318850282</v>
      </c>
      <c r="BA57" s="22">
        <v>1</v>
      </c>
      <c r="BB57" s="7" t="s">
        <v>39</v>
      </c>
      <c r="BC57" s="12">
        <v>4</v>
      </c>
      <c r="BD57" s="7" t="s">
        <v>53</v>
      </c>
      <c r="BE57" s="7" t="s">
        <v>7</v>
      </c>
      <c r="BF57" s="8">
        <v>43555</v>
      </c>
      <c r="BG57" s="16"/>
      <c r="BH57" s="7">
        <v>985.07</v>
      </c>
      <c r="BI57" s="7"/>
      <c r="BJ57" s="7"/>
      <c r="BK57" s="7"/>
      <c r="BL57" s="7"/>
      <c r="BM57" s="17">
        <f t="shared" si="14"/>
        <v>985.07</v>
      </c>
      <c r="BN57" s="18">
        <f t="shared" si="25"/>
        <v>5.210000000000036</v>
      </c>
      <c r="BO57" s="19">
        <f t="shared" si="26"/>
        <v>-1.5442535656688627</v>
      </c>
      <c r="BP57" s="15">
        <f t="shared" si="27"/>
        <v>3.6657464343311736</v>
      </c>
      <c r="BQ57" s="11">
        <f t="shared" si="28"/>
        <v>10.337404944813908</v>
      </c>
      <c r="BR57" s="46">
        <f t="shared" si="29"/>
        <v>157.80692813331672</v>
      </c>
      <c r="BS57" s="22">
        <v>1</v>
      </c>
      <c r="BT57" s="7" t="s">
        <v>39</v>
      </c>
      <c r="BU57" s="12">
        <v>4</v>
      </c>
      <c r="BV57" s="7" t="s">
        <v>53</v>
      </c>
      <c r="BW57" s="7" t="s">
        <v>7</v>
      </c>
      <c r="BX57" s="8">
        <v>43585</v>
      </c>
      <c r="BY57" s="16"/>
      <c r="BZ57" s="7">
        <v>989.45</v>
      </c>
      <c r="CA57" s="7"/>
      <c r="CB57" s="7"/>
      <c r="CC57" s="7"/>
      <c r="CD57" s="7"/>
      <c r="CE57" s="17">
        <v>989.45</v>
      </c>
      <c r="CF57" s="18">
        <f t="shared" si="30"/>
        <v>4.3799999999999955</v>
      </c>
      <c r="CG57" s="19">
        <f t="shared" si="31"/>
        <v>0.2352268882674075</v>
      </c>
      <c r="CH57" s="20">
        <f t="shared" si="32"/>
        <v>4.615226888267403</v>
      </c>
      <c r="CI57" s="11">
        <f t="shared" si="33"/>
        <v>13.014939824914075</v>
      </c>
      <c r="CJ57" s="46">
        <f t="shared" si="34"/>
        <v>170.8218679582308</v>
      </c>
      <c r="CK57" s="22">
        <v>1</v>
      </c>
      <c r="CL57" s="7" t="s">
        <v>39</v>
      </c>
      <c r="CM57" s="12">
        <v>4</v>
      </c>
      <c r="CN57" s="7" t="s">
        <v>53</v>
      </c>
      <c r="CO57" s="7" t="s">
        <v>7</v>
      </c>
      <c r="CP57" s="8">
        <v>43615</v>
      </c>
      <c r="CQ57" s="16">
        <v>220</v>
      </c>
      <c r="CR57" s="7">
        <v>1011.14</v>
      </c>
      <c r="CS57" s="7"/>
      <c r="CT57" s="7"/>
      <c r="CU57" s="7"/>
      <c r="CV57" s="7"/>
      <c r="CW57" s="17">
        <v>1011.14</v>
      </c>
      <c r="CX57" s="18">
        <f t="shared" si="35"/>
        <v>21.68999999999994</v>
      </c>
      <c r="CY57" s="19">
        <f t="shared" si="36"/>
        <v>9.342615852855497</v>
      </c>
      <c r="CZ57" s="15">
        <f t="shared" si="37"/>
        <v>31.032615852855436</v>
      </c>
      <c r="DA57" s="11">
        <f t="shared" si="38"/>
        <v>87.51197670505232</v>
      </c>
      <c r="DB57" s="46">
        <f t="shared" si="39"/>
        <v>38.33384466328312</v>
      </c>
      <c r="DC57" s="22">
        <v>1</v>
      </c>
      <c r="DD57" s="7" t="s">
        <v>39</v>
      </c>
      <c r="DE57" s="1">
        <v>4</v>
      </c>
      <c r="DF57" s="2" t="s">
        <v>53</v>
      </c>
      <c r="DG57" s="2" t="s">
        <v>7</v>
      </c>
      <c r="DH57" s="30">
        <v>43646</v>
      </c>
      <c r="DI57" s="37"/>
      <c r="DJ57" s="31">
        <v>1057.97</v>
      </c>
      <c r="DK57" s="58"/>
      <c r="DL57" s="58"/>
      <c r="DM57" s="58"/>
      <c r="DN57" s="35"/>
      <c r="DO57" s="57">
        <f t="shared" si="15"/>
        <v>1057.97</v>
      </c>
      <c r="DP57" s="18">
        <f t="shared" si="40"/>
        <v>46.83000000000004</v>
      </c>
      <c r="DQ57" s="19">
        <f t="shared" si="41"/>
        <v>-0.8649699357487806</v>
      </c>
      <c r="DR57" s="15">
        <f t="shared" si="42"/>
        <v>45.96503006425126</v>
      </c>
      <c r="DS57" s="11">
        <f t="shared" si="43"/>
        <v>129.62138478118854</v>
      </c>
      <c r="DT57" s="46">
        <f t="shared" si="44"/>
        <v>167.95522944447166</v>
      </c>
      <c r="DU57" s="22">
        <v>1</v>
      </c>
      <c r="DV57" s="7" t="s">
        <v>39</v>
      </c>
      <c r="DW57" s="12">
        <v>4</v>
      </c>
      <c r="DX57" s="7" t="s">
        <v>53</v>
      </c>
      <c r="DY57" s="7" t="s">
        <v>7</v>
      </c>
      <c r="DZ57" s="8">
        <v>43677</v>
      </c>
      <c r="EA57" s="16"/>
      <c r="EB57" s="7">
        <v>1083.73</v>
      </c>
      <c r="EC57" s="7"/>
      <c r="ED57" s="7"/>
      <c r="EE57" s="7"/>
      <c r="EF57" s="7"/>
      <c r="EG57" s="17">
        <v>1083.73</v>
      </c>
      <c r="EH57" s="18">
        <f t="shared" si="45"/>
        <v>25.75999999999999</v>
      </c>
      <c r="EI57" s="19">
        <f t="shared" si="46"/>
        <v>4.4496928565211995</v>
      </c>
      <c r="EJ57" s="15">
        <f t="shared" si="47"/>
        <v>30.20969285652119</v>
      </c>
      <c r="EK57" s="11">
        <f t="shared" si="48"/>
        <v>87.60810928391145</v>
      </c>
      <c r="EL57" s="125">
        <f t="shared" si="49"/>
        <v>255.5633387283831</v>
      </c>
      <c r="EM57" s="22">
        <v>1</v>
      </c>
      <c r="EN57" s="7" t="s">
        <v>39</v>
      </c>
      <c r="EO57" s="12">
        <v>4</v>
      </c>
      <c r="EP57" s="7" t="s">
        <v>53</v>
      </c>
      <c r="EQ57" s="7" t="s">
        <v>7</v>
      </c>
      <c r="ER57" s="8">
        <v>43708</v>
      </c>
      <c r="ES57" s="16"/>
      <c r="ET57" s="7">
        <v>1110.93</v>
      </c>
      <c r="EU57" s="7"/>
      <c r="EV57" s="7"/>
      <c r="EW57" s="7"/>
      <c r="EX57" s="7"/>
      <c r="EY57" s="17">
        <f t="shared" si="16"/>
        <v>1110.93</v>
      </c>
      <c r="EZ57" s="18">
        <f t="shared" si="50"/>
        <v>27.200000000000045</v>
      </c>
      <c r="FA57" s="19">
        <f t="shared" si="51"/>
        <v>3.0982308047097984</v>
      </c>
      <c r="FB57" s="15">
        <f t="shared" si="52"/>
        <v>30.298230804709846</v>
      </c>
      <c r="FC57" s="11">
        <f t="shared" si="53"/>
        <v>87.86486933365855</v>
      </c>
      <c r="FD57" s="21">
        <f t="shared" si="54"/>
        <v>343.4282080620416</v>
      </c>
      <c r="FE57" s="22">
        <v>1</v>
      </c>
      <c r="FF57" s="7" t="s">
        <v>39</v>
      </c>
      <c r="FG57" s="7">
        <v>4</v>
      </c>
      <c r="FH57" s="7" t="s">
        <v>53</v>
      </c>
      <c r="FI57" s="7" t="s">
        <v>7</v>
      </c>
      <c r="FJ57" s="8">
        <v>43735</v>
      </c>
      <c r="FK57" s="16"/>
      <c r="FL57" s="7">
        <v>1141.26</v>
      </c>
      <c r="FM57" s="7"/>
      <c r="FN57" s="7"/>
      <c r="FO57" s="7"/>
      <c r="FP57" s="7"/>
      <c r="FQ57" s="17">
        <v>1141.26</v>
      </c>
      <c r="FR57" s="18">
        <f t="shared" si="55"/>
        <v>30.329999999999927</v>
      </c>
      <c r="FS57" s="19">
        <f t="shared" si="56"/>
        <v>0.22694407309670184</v>
      </c>
      <c r="FT57" s="15">
        <f t="shared" si="57"/>
        <v>30.55694407309663</v>
      </c>
      <c r="FU57" s="11">
        <f t="shared" si="58"/>
        <v>88.61513781198023</v>
      </c>
      <c r="FV57" s="128">
        <f t="shared" si="17"/>
        <v>-6.729244935075482</v>
      </c>
      <c r="FW57" s="13">
        <f t="shared" si="59"/>
        <v>81.88589287690475</v>
      </c>
      <c r="FX57" s="21">
        <f t="shared" si="60"/>
        <v>425.31410093894635</v>
      </c>
      <c r="FY57" s="22">
        <v>1</v>
      </c>
      <c r="FZ57" s="7" t="s">
        <v>39</v>
      </c>
      <c r="GA57" s="134">
        <v>4</v>
      </c>
      <c r="GB57" s="135" t="s">
        <v>53</v>
      </c>
      <c r="GC57" s="135" t="s">
        <v>7</v>
      </c>
      <c r="GD57" s="136">
        <v>43771</v>
      </c>
      <c r="GE57" s="138"/>
      <c r="GF57" s="139">
        <v>1154.82</v>
      </c>
      <c r="GG57" s="3"/>
      <c r="GH57" s="3"/>
      <c r="GI57" s="3"/>
      <c r="GJ57" s="3"/>
      <c r="GK57" s="32">
        <f t="shared" si="18"/>
        <v>1154.82</v>
      </c>
      <c r="GL57" s="18">
        <f t="shared" si="61"/>
        <v>13.559999999999945</v>
      </c>
      <c r="GM57" s="19">
        <f t="shared" si="62"/>
        <v>-1.5689314006529085</v>
      </c>
      <c r="GN57" s="15">
        <f t="shared" si="63"/>
        <v>11.991068599347036</v>
      </c>
      <c r="GO57" s="11">
        <f t="shared" si="64"/>
        <v>34.774098938106405</v>
      </c>
      <c r="GP57" s="7">
        <f t="shared" si="19"/>
        <v>-5.134746875220391</v>
      </c>
      <c r="GQ57" s="13">
        <f t="shared" si="65"/>
        <v>29.639352062886015</v>
      </c>
      <c r="GR57" s="46">
        <f t="shared" si="66"/>
        <v>454.9534530018324</v>
      </c>
      <c r="GS57" s="22">
        <v>1</v>
      </c>
      <c r="GT57" s="7" t="s">
        <v>39</v>
      </c>
      <c r="GU57" s="148">
        <v>4</v>
      </c>
      <c r="GV57" s="148" t="s">
        <v>53</v>
      </c>
      <c r="GW57" s="148" t="s">
        <v>7</v>
      </c>
      <c r="GX57" s="155">
        <v>43799</v>
      </c>
      <c r="GY57" s="156"/>
      <c r="GZ57" s="148">
        <v>1159.54</v>
      </c>
      <c r="HA57" s="157"/>
      <c r="HB57" s="157"/>
      <c r="HC57" s="157"/>
      <c r="HD57" s="157"/>
      <c r="HE57" s="158">
        <f t="shared" si="20"/>
        <v>1159.54</v>
      </c>
      <c r="HF57" s="18">
        <f t="shared" si="67"/>
        <v>4.720000000000027</v>
      </c>
      <c r="HG57" s="19">
        <f t="shared" si="68"/>
        <v>1.1568747975123639</v>
      </c>
      <c r="HH57" s="15">
        <f t="shared" si="69"/>
        <v>5.876874797512391</v>
      </c>
      <c r="HI57" s="11">
        <f t="shared" si="70"/>
        <v>17.042936912785933</v>
      </c>
      <c r="HJ57" s="7">
        <f t="shared" si="71"/>
        <v>-2.157052923127762</v>
      </c>
      <c r="HK57" s="13">
        <f t="shared" si="72"/>
        <v>14.885883989658172</v>
      </c>
      <c r="HL57" s="46">
        <f t="shared" si="73"/>
        <v>469.83933699149054</v>
      </c>
      <c r="HM57" s="22">
        <v>1</v>
      </c>
      <c r="HN57" s="7" t="s">
        <v>39</v>
      </c>
      <c r="HO57" s="12">
        <v>4</v>
      </c>
      <c r="HP57" s="7" t="s">
        <v>53</v>
      </c>
      <c r="HQ57" s="7" t="s">
        <v>7</v>
      </c>
      <c r="HR57" s="8">
        <v>43830</v>
      </c>
      <c r="HS57" s="171">
        <v>600</v>
      </c>
      <c r="HT57" s="7">
        <v>1164.19</v>
      </c>
      <c r="HU57" s="7"/>
      <c r="HV57" s="7"/>
      <c r="HW57" s="7"/>
      <c r="HX57" s="7"/>
      <c r="HY57" s="17">
        <v>1164.19</v>
      </c>
      <c r="HZ57" s="18">
        <f t="shared" si="74"/>
        <v>4.650000000000091</v>
      </c>
      <c r="IA57" s="19">
        <f t="shared" si="75"/>
        <v>0.5580000000000113</v>
      </c>
      <c r="IB57" s="20">
        <f t="shared" si="76"/>
        <v>5.208000000000102</v>
      </c>
      <c r="IC57" s="11">
        <f t="shared" si="77"/>
        <v>15.103200000000296</v>
      </c>
      <c r="ID57" s="7">
        <f t="shared" si="78"/>
        <v>-1.5363285430644738</v>
      </c>
      <c r="IE57" s="13">
        <f t="shared" si="79"/>
        <v>13.566871456935822</v>
      </c>
      <c r="IF57" s="46">
        <f t="shared" si="80"/>
        <v>-116.59379155157364</v>
      </c>
      <c r="IG57" s="22">
        <v>1</v>
      </c>
      <c r="IH57" s="7" t="s">
        <v>39</v>
      </c>
    </row>
    <row r="58" spans="1:242" ht="19.5" customHeight="1">
      <c r="A58" s="10">
        <v>5</v>
      </c>
      <c r="B58" s="6" t="s">
        <v>83</v>
      </c>
      <c r="C58" s="6" t="s">
        <v>84</v>
      </c>
      <c r="D58" s="5">
        <v>43100</v>
      </c>
      <c r="F58" s="6">
        <v>1143.46</v>
      </c>
      <c r="G58" s="6">
        <v>9664.83</v>
      </c>
      <c r="H58" s="6">
        <v>10808.29</v>
      </c>
      <c r="J58" s="6">
        <v>314.5100000000002</v>
      </c>
      <c r="K58" s="6">
        <v>-45.14227250817606</v>
      </c>
      <c r="L58" s="6">
        <v>269.36772749182416</v>
      </c>
      <c r="M58" s="6">
        <v>713.824477853334</v>
      </c>
      <c r="N58" s="6">
        <v>3053.8644400494163</v>
      </c>
      <c r="O58" s="10">
        <v>2</v>
      </c>
      <c r="P58" s="6" t="s">
        <v>39</v>
      </c>
      <c r="Q58" s="1">
        <v>5</v>
      </c>
      <c r="R58" s="56" t="s">
        <v>83</v>
      </c>
      <c r="S58" s="54">
        <v>4543.96</v>
      </c>
      <c r="T58" s="55">
        <v>2820.8837424876174</v>
      </c>
      <c r="U58" s="2" t="s">
        <v>84</v>
      </c>
      <c r="V58" s="30">
        <v>43496</v>
      </c>
      <c r="W58" s="37">
        <v>3000</v>
      </c>
      <c r="X58" s="31">
        <v>4924.5</v>
      </c>
      <c r="Y58" s="31"/>
      <c r="Z58" s="31"/>
      <c r="AA58" s="31"/>
      <c r="AB58" s="31">
        <v>9664.83</v>
      </c>
      <c r="AC58" s="57">
        <f t="shared" si="6"/>
        <v>4924.5</v>
      </c>
      <c r="AD58" s="34">
        <f t="shared" si="7"/>
        <v>380.53999999999996</v>
      </c>
      <c r="AE58" s="38">
        <f t="shared" si="8"/>
        <v>51.25597016228052</v>
      </c>
      <c r="AF58" s="39">
        <f t="shared" si="9"/>
        <v>431.79597016228047</v>
      </c>
      <c r="AG58" s="4">
        <f t="shared" si="21"/>
        <v>1196.0748373495169</v>
      </c>
      <c r="AH58" s="40">
        <f t="shared" si="10"/>
        <v>1016.9585798371343</v>
      </c>
      <c r="AI58" s="41">
        <v>2</v>
      </c>
      <c r="AJ58" s="36" t="s">
        <v>39</v>
      </c>
      <c r="AK58" s="1">
        <v>5</v>
      </c>
      <c r="AL58" s="2" t="s">
        <v>83</v>
      </c>
      <c r="AM58" s="2" t="s">
        <v>84</v>
      </c>
      <c r="AN58" s="72">
        <v>43521</v>
      </c>
      <c r="AO58" s="73">
        <v>1500</v>
      </c>
      <c r="AP58" s="74">
        <v>5223.03</v>
      </c>
      <c r="AQ58" s="74"/>
      <c r="AR58" s="74"/>
      <c r="AS58" s="74"/>
      <c r="AT58" s="74">
        <v>9664.83</v>
      </c>
      <c r="AU58" s="79">
        <f t="shared" si="11"/>
        <v>5223.03</v>
      </c>
      <c r="AV58" s="81">
        <f t="shared" si="12"/>
        <v>298.52999999999975</v>
      </c>
      <c r="AW58" s="80">
        <f t="shared" si="13"/>
        <v>155.0587556908643</v>
      </c>
      <c r="AX58" s="85">
        <f t="shared" si="22"/>
        <v>453.58875569086405</v>
      </c>
      <c r="AY58" s="91">
        <f t="shared" si="23"/>
        <v>1278.1755274521397</v>
      </c>
      <c r="AZ58" s="88">
        <f t="shared" si="24"/>
        <v>795.134107289274</v>
      </c>
      <c r="BA58" s="22">
        <v>2</v>
      </c>
      <c r="BB58" s="7" t="s">
        <v>39</v>
      </c>
      <c r="BC58" s="12">
        <v>5</v>
      </c>
      <c r="BD58" s="7" t="s">
        <v>83</v>
      </c>
      <c r="BE58" s="7" t="s">
        <v>84</v>
      </c>
      <c r="BF58" s="8">
        <v>43555</v>
      </c>
      <c r="BG58" s="16">
        <v>1000</v>
      </c>
      <c r="BH58" s="7">
        <v>5528.21</v>
      </c>
      <c r="BI58" s="7"/>
      <c r="BJ58" s="7"/>
      <c r="BK58" s="7"/>
      <c r="BL58" s="7">
        <v>9664.83</v>
      </c>
      <c r="BM58" s="17">
        <f t="shared" si="14"/>
        <v>5528.21</v>
      </c>
      <c r="BN58" s="18">
        <f t="shared" si="25"/>
        <v>305.1800000000003</v>
      </c>
      <c r="BO58" s="19">
        <f t="shared" si="26"/>
        <v>-90.45591231685617</v>
      </c>
      <c r="BP58" s="15">
        <f t="shared" si="27"/>
        <v>214.72408768314412</v>
      </c>
      <c r="BQ58" s="11">
        <f t="shared" si="28"/>
        <v>605.5219272664664</v>
      </c>
      <c r="BR58" s="46">
        <f t="shared" si="29"/>
        <v>400.65603455574035</v>
      </c>
      <c r="BS58" s="22">
        <v>2</v>
      </c>
      <c r="BT58" s="7" t="s">
        <v>39</v>
      </c>
      <c r="BU58" s="12">
        <v>5</v>
      </c>
      <c r="BV58" s="7" t="s">
        <v>83</v>
      </c>
      <c r="BW58" s="7" t="s">
        <v>84</v>
      </c>
      <c r="BX58" s="8">
        <v>43585</v>
      </c>
      <c r="BY58" s="16"/>
      <c r="BZ58" s="7">
        <v>5778.900000000001</v>
      </c>
      <c r="CA58" s="7"/>
      <c r="CB58" s="7"/>
      <c r="CC58" s="7"/>
      <c r="CD58" s="7">
        <v>9664.83</v>
      </c>
      <c r="CE58" s="17">
        <v>5778.900000000001</v>
      </c>
      <c r="CF58" s="18">
        <f t="shared" si="30"/>
        <v>250.6900000000005</v>
      </c>
      <c r="CG58" s="19">
        <f t="shared" si="31"/>
        <v>13.463248543323418</v>
      </c>
      <c r="CH58" s="20">
        <f t="shared" si="32"/>
        <v>264.1532485433239</v>
      </c>
      <c r="CI58" s="11">
        <f t="shared" si="33"/>
        <v>744.9121608921733</v>
      </c>
      <c r="CJ58" s="46">
        <f t="shared" si="34"/>
        <v>1145.5681954479137</v>
      </c>
      <c r="CK58" s="22">
        <v>2</v>
      </c>
      <c r="CL58" s="7" t="s">
        <v>39</v>
      </c>
      <c r="CM58" s="12">
        <v>5</v>
      </c>
      <c r="CN58" s="7" t="s">
        <v>83</v>
      </c>
      <c r="CO58" s="7" t="s">
        <v>84</v>
      </c>
      <c r="CP58" s="8">
        <v>43615</v>
      </c>
      <c r="CQ58" s="16">
        <v>1000</v>
      </c>
      <c r="CR58" s="7">
        <v>5990.1</v>
      </c>
      <c r="CS58" s="7"/>
      <c r="CT58" s="7"/>
      <c r="CU58" s="7"/>
      <c r="CV58" s="7">
        <v>9664.83</v>
      </c>
      <c r="CW58" s="17">
        <v>5990.1</v>
      </c>
      <c r="CX58" s="18">
        <f t="shared" si="35"/>
        <v>211.19999999999982</v>
      </c>
      <c r="CY58" s="19">
        <f t="shared" si="36"/>
        <v>90.97097593928467</v>
      </c>
      <c r="CZ58" s="15">
        <f t="shared" si="37"/>
        <v>302.1709759392845</v>
      </c>
      <c r="DA58" s="11">
        <f t="shared" si="38"/>
        <v>852.1221521487823</v>
      </c>
      <c r="DB58" s="46">
        <f t="shared" si="39"/>
        <v>997.690347596696</v>
      </c>
      <c r="DC58" s="22">
        <v>2</v>
      </c>
      <c r="DD58" s="7" t="s">
        <v>39</v>
      </c>
      <c r="DE58" s="1">
        <v>5</v>
      </c>
      <c r="DF58" s="2" t="s">
        <v>83</v>
      </c>
      <c r="DG58" s="2" t="s">
        <v>84</v>
      </c>
      <c r="DH58" s="30">
        <v>43646</v>
      </c>
      <c r="DI58" s="37"/>
      <c r="DJ58" s="31">
        <v>6203.16</v>
      </c>
      <c r="DK58" s="58"/>
      <c r="DL58" s="58"/>
      <c r="DM58" s="58"/>
      <c r="DN58" s="35">
        <v>9664.83</v>
      </c>
      <c r="DO58" s="57">
        <f t="shared" si="15"/>
        <v>6203.16</v>
      </c>
      <c r="DP58" s="18">
        <f t="shared" si="40"/>
        <v>213.0599999999995</v>
      </c>
      <c r="DQ58" s="19">
        <f t="shared" si="41"/>
        <v>-3.935308445668046</v>
      </c>
      <c r="DR58" s="15">
        <f t="shared" si="42"/>
        <v>209.12469155433143</v>
      </c>
      <c r="DS58" s="11">
        <f t="shared" si="43"/>
        <v>589.7316301832146</v>
      </c>
      <c r="DT58" s="46">
        <f t="shared" si="44"/>
        <v>1587.4219777799108</v>
      </c>
      <c r="DU58" s="22">
        <v>2</v>
      </c>
      <c r="DV58" s="7" t="s">
        <v>39</v>
      </c>
      <c r="DW58" s="12">
        <v>5</v>
      </c>
      <c r="DX58" s="7" t="s">
        <v>83</v>
      </c>
      <c r="DY58" s="7" t="s">
        <v>84</v>
      </c>
      <c r="DZ58" s="8">
        <v>43677</v>
      </c>
      <c r="EA58" s="16"/>
      <c r="EB58" s="7">
        <v>6398.21</v>
      </c>
      <c r="EC58" s="7"/>
      <c r="ED58" s="7"/>
      <c r="EE58" s="7"/>
      <c r="EF58" s="7">
        <v>9664.83</v>
      </c>
      <c r="EG58" s="17">
        <v>6398.21</v>
      </c>
      <c r="EH58" s="18">
        <f t="shared" si="45"/>
        <v>195.05000000000018</v>
      </c>
      <c r="EI58" s="19">
        <f t="shared" si="46"/>
        <v>33.692258993185604</v>
      </c>
      <c r="EJ58" s="15">
        <f t="shared" si="47"/>
        <v>228.74225899318577</v>
      </c>
      <c r="EK58" s="11">
        <f t="shared" si="48"/>
        <v>663.3525510802388</v>
      </c>
      <c r="EL58" s="125">
        <f t="shared" si="49"/>
        <v>2250.7745288601495</v>
      </c>
      <c r="EM58" s="22">
        <v>2</v>
      </c>
      <c r="EN58" s="7" t="s">
        <v>39</v>
      </c>
      <c r="EO58" s="12">
        <v>5</v>
      </c>
      <c r="EP58" s="7" t="s">
        <v>83</v>
      </c>
      <c r="EQ58" s="7" t="s">
        <v>84</v>
      </c>
      <c r="ER58" s="8">
        <v>43708</v>
      </c>
      <c r="ES58" s="16">
        <v>2500</v>
      </c>
      <c r="ET58" s="7">
        <v>6599.89</v>
      </c>
      <c r="EU58" s="7"/>
      <c r="EV58" s="7"/>
      <c r="EW58" s="7"/>
      <c r="EX58" s="7">
        <v>9664.83</v>
      </c>
      <c r="EY58" s="17">
        <f t="shared" si="16"/>
        <v>6599.89</v>
      </c>
      <c r="EZ58" s="18">
        <f t="shared" si="50"/>
        <v>201.6800000000003</v>
      </c>
      <c r="FA58" s="19">
        <f t="shared" si="51"/>
        <v>22.972470172568826</v>
      </c>
      <c r="FB58" s="15">
        <f t="shared" si="52"/>
        <v>224.6524701725691</v>
      </c>
      <c r="FC58" s="11">
        <f t="shared" si="53"/>
        <v>651.4921635004504</v>
      </c>
      <c r="FD58" s="21">
        <f t="shared" si="54"/>
        <v>402.2666923605999</v>
      </c>
      <c r="FE58" s="22">
        <v>2</v>
      </c>
      <c r="FF58" s="7" t="s">
        <v>39</v>
      </c>
      <c r="FG58" s="7">
        <v>5</v>
      </c>
      <c r="FH58" s="7" t="s">
        <v>83</v>
      </c>
      <c r="FI58" s="7" t="s">
        <v>84</v>
      </c>
      <c r="FJ58" s="8">
        <v>43735</v>
      </c>
      <c r="FK58" s="16"/>
      <c r="FL58" s="7">
        <v>6739.12</v>
      </c>
      <c r="FM58" s="7"/>
      <c r="FN58" s="7"/>
      <c r="FO58" s="7"/>
      <c r="FP58" s="7">
        <v>9664.83</v>
      </c>
      <c r="FQ58" s="17">
        <v>6739.12</v>
      </c>
      <c r="FR58" s="18">
        <f t="shared" si="55"/>
        <v>139.22999999999956</v>
      </c>
      <c r="FS58" s="19">
        <f t="shared" si="56"/>
        <v>1.0417877776872329</v>
      </c>
      <c r="FT58" s="15">
        <f t="shared" si="57"/>
        <v>140.2717877776868</v>
      </c>
      <c r="FU58" s="11">
        <f t="shared" si="58"/>
        <v>406.7881845552917</v>
      </c>
      <c r="FV58" s="128">
        <f t="shared" si="17"/>
        <v>-30.890628826592767</v>
      </c>
      <c r="FW58" s="13">
        <f t="shared" si="59"/>
        <v>375.89755572869893</v>
      </c>
      <c r="FX58" s="21">
        <f t="shared" si="60"/>
        <v>778.1642480892988</v>
      </c>
      <c r="FY58" s="22">
        <v>2</v>
      </c>
      <c r="FZ58" s="7" t="s">
        <v>39</v>
      </c>
      <c r="GA58" s="134">
        <v>5</v>
      </c>
      <c r="GB58" s="135" t="s">
        <v>83</v>
      </c>
      <c r="GC58" s="135" t="s">
        <v>84</v>
      </c>
      <c r="GD58" s="136">
        <v>43771</v>
      </c>
      <c r="GE58" s="138"/>
      <c r="GF58" s="139">
        <v>7211.16</v>
      </c>
      <c r="GG58" s="3"/>
      <c r="GH58" s="3"/>
      <c r="GI58" s="3"/>
      <c r="GJ58" s="3">
        <v>9664.83</v>
      </c>
      <c r="GK58" s="32">
        <f t="shared" si="18"/>
        <v>7211.16</v>
      </c>
      <c r="GL58" s="18">
        <f t="shared" si="61"/>
        <v>472.03999999999996</v>
      </c>
      <c r="GM58" s="19">
        <f t="shared" si="62"/>
        <v>-54.616399584380666</v>
      </c>
      <c r="GN58" s="15">
        <f t="shared" si="63"/>
        <v>417.4236004156193</v>
      </c>
      <c r="GO58" s="11">
        <f t="shared" si="64"/>
        <v>1210.528441205296</v>
      </c>
      <c r="GP58" s="7">
        <f t="shared" si="19"/>
        <v>-178.74674889225983</v>
      </c>
      <c r="GQ58" s="13">
        <f t="shared" si="65"/>
        <v>1031.7816923130363</v>
      </c>
      <c r="GR58" s="46">
        <f t="shared" si="66"/>
        <v>1809.945940402335</v>
      </c>
      <c r="GS58" s="22">
        <v>2</v>
      </c>
      <c r="GT58" s="7" t="s">
        <v>39</v>
      </c>
      <c r="GU58" s="148">
        <v>5</v>
      </c>
      <c r="GV58" s="148" t="s">
        <v>83</v>
      </c>
      <c r="GW58" s="148" t="s">
        <v>84</v>
      </c>
      <c r="GX58" s="155">
        <v>43795</v>
      </c>
      <c r="GY58" s="156">
        <v>3500</v>
      </c>
      <c r="GZ58" s="148">
        <v>7571.07</v>
      </c>
      <c r="HA58" s="157"/>
      <c r="HB58" s="157"/>
      <c r="HC58" s="157"/>
      <c r="HD58" s="157">
        <v>9664.83</v>
      </c>
      <c r="HE58" s="158">
        <f t="shared" si="20"/>
        <v>7571.07</v>
      </c>
      <c r="HF58" s="18">
        <f t="shared" si="67"/>
        <v>359.90999999999985</v>
      </c>
      <c r="HG58" s="19">
        <f t="shared" si="68"/>
        <v>88.21415431624413</v>
      </c>
      <c r="HH58" s="15">
        <f t="shared" si="69"/>
        <v>448.124154316244</v>
      </c>
      <c r="HI58" s="11">
        <f t="shared" si="70"/>
        <v>1299.5600475171077</v>
      </c>
      <c r="HJ58" s="7">
        <f t="shared" si="71"/>
        <v>-164.4798554158704</v>
      </c>
      <c r="HK58" s="13">
        <f t="shared" si="72"/>
        <v>1135.0801921012373</v>
      </c>
      <c r="HL58" s="46">
        <f t="shared" si="73"/>
        <v>-554.9738674964276</v>
      </c>
      <c r="HM58" s="22">
        <v>2</v>
      </c>
      <c r="HN58" s="7" t="s">
        <v>39</v>
      </c>
      <c r="HO58" s="12">
        <v>5</v>
      </c>
      <c r="HP58" s="7" t="s">
        <v>83</v>
      </c>
      <c r="HQ58" s="7" t="s">
        <v>84</v>
      </c>
      <c r="HR58" s="8">
        <v>43830</v>
      </c>
      <c r="HS58" s="171">
        <v>3500</v>
      </c>
      <c r="HT58" s="7">
        <v>8163.68</v>
      </c>
      <c r="HU58" s="7"/>
      <c r="HV58" s="7"/>
      <c r="HW58" s="7"/>
      <c r="HX58" s="7">
        <v>9664.83</v>
      </c>
      <c r="HY58" s="17">
        <v>8163.68</v>
      </c>
      <c r="HZ58" s="18">
        <f t="shared" si="74"/>
        <v>592.6100000000006</v>
      </c>
      <c r="IA58" s="19">
        <f t="shared" si="75"/>
        <v>71.11320000000012</v>
      </c>
      <c r="IB58" s="20">
        <f t="shared" si="76"/>
        <v>663.7232000000007</v>
      </c>
      <c r="IC58" s="11">
        <f t="shared" si="77"/>
        <v>1924.797280000002</v>
      </c>
      <c r="ID58" s="7">
        <f t="shared" si="78"/>
        <v>-195.79433503342386</v>
      </c>
      <c r="IE58" s="13">
        <f t="shared" si="79"/>
        <v>1729.002944966578</v>
      </c>
      <c r="IF58" s="46">
        <f t="shared" si="80"/>
        <v>-2325.9709225298493</v>
      </c>
      <c r="IG58" s="22">
        <v>2</v>
      </c>
      <c r="IH58" s="7" t="s">
        <v>39</v>
      </c>
    </row>
    <row r="59" spans="1:242" ht="19.5" customHeight="1">
      <c r="A59" s="10">
        <v>6</v>
      </c>
      <c r="B59" s="6" t="s">
        <v>54</v>
      </c>
      <c r="C59" s="6" t="s">
        <v>47</v>
      </c>
      <c r="D59" s="5">
        <v>43100</v>
      </c>
      <c r="F59" s="6">
        <v>8095.58</v>
      </c>
      <c r="H59" s="6">
        <v>8095.58</v>
      </c>
      <c r="J59" s="6">
        <v>464.2600000000002</v>
      </c>
      <c r="K59" s="6">
        <v>-66.63620054893585</v>
      </c>
      <c r="L59" s="6">
        <v>397.6237994510644</v>
      </c>
      <c r="M59" s="6">
        <v>1053.7030685453205</v>
      </c>
      <c r="N59" s="6">
        <v>3918.198725850027</v>
      </c>
      <c r="O59" s="10">
        <v>1</v>
      </c>
      <c r="P59" s="6" t="s">
        <v>39</v>
      </c>
      <c r="Q59" s="1">
        <v>6</v>
      </c>
      <c r="R59" s="56" t="s">
        <v>54</v>
      </c>
      <c r="S59" s="54">
        <v>13015.15</v>
      </c>
      <c r="T59" s="55">
        <v>2386.9732978881457</v>
      </c>
      <c r="U59" s="2" t="s">
        <v>47</v>
      </c>
      <c r="V59" s="30">
        <v>43496</v>
      </c>
      <c r="W59" s="37">
        <v>1827</v>
      </c>
      <c r="X59" s="31">
        <v>13593.720000000001</v>
      </c>
      <c r="Y59" s="31"/>
      <c r="Z59" s="31"/>
      <c r="AA59" s="31"/>
      <c r="AB59" s="31">
        <v>8268.33</v>
      </c>
      <c r="AC59" s="57">
        <f t="shared" si="6"/>
        <v>13593.720000000001</v>
      </c>
      <c r="AD59" s="34">
        <f t="shared" si="7"/>
        <v>578.5700000000015</v>
      </c>
      <c r="AE59" s="38">
        <f t="shared" si="8"/>
        <v>77.92917080146823</v>
      </c>
      <c r="AF59" s="39">
        <f t="shared" si="9"/>
        <v>656.4991708014697</v>
      </c>
      <c r="AG59" s="4">
        <f t="shared" si="21"/>
        <v>1818.5027031200711</v>
      </c>
      <c r="AH59" s="40">
        <f t="shared" si="10"/>
        <v>2378.476001008217</v>
      </c>
      <c r="AI59" s="41">
        <v>2</v>
      </c>
      <c r="AJ59" s="36" t="s">
        <v>39</v>
      </c>
      <c r="AK59" s="1">
        <v>6</v>
      </c>
      <c r="AL59" s="2" t="s">
        <v>54</v>
      </c>
      <c r="AM59" s="2" t="s">
        <v>47</v>
      </c>
      <c r="AN59" s="72">
        <v>43521</v>
      </c>
      <c r="AO59" s="73">
        <v>2400</v>
      </c>
      <c r="AP59" s="74">
        <v>14043.26</v>
      </c>
      <c r="AQ59" s="74"/>
      <c r="AR59" s="74"/>
      <c r="AS59" s="74"/>
      <c r="AT59" s="74">
        <v>8268.33</v>
      </c>
      <c r="AU59" s="79">
        <f t="shared" si="11"/>
        <v>14043.26</v>
      </c>
      <c r="AV59" s="81">
        <f t="shared" si="12"/>
        <v>449.53999999999905</v>
      </c>
      <c r="AW59" s="80">
        <f t="shared" si="13"/>
        <v>233.49449982672112</v>
      </c>
      <c r="AX59" s="85">
        <f t="shared" si="22"/>
        <v>683.0344998267202</v>
      </c>
      <c r="AY59" s="91">
        <f t="shared" si="23"/>
        <v>1924.7346216823578</v>
      </c>
      <c r="AZ59" s="88">
        <f t="shared" si="24"/>
        <v>1903.2106226905746</v>
      </c>
      <c r="BA59" s="22">
        <v>2</v>
      </c>
      <c r="BB59" s="7" t="s">
        <v>39</v>
      </c>
      <c r="BC59" s="12">
        <v>6</v>
      </c>
      <c r="BD59" s="7" t="s">
        <v>54</v>
      </c>
      <c r="BE59" s="7" t="s">
        <v>47</v>
      </c>
      <c r="BF59" s="8">
        <v>43555</v>
      </c>
      <c r="BG59" s="16"/>
      <c r="BH59" s="7">
        <v>14570.39</v>
      </c>
      <c r="BI59" s="7"/>
      <c r="BJ59" s="7"/>
      <c r="BK59" s="7"/>
      <c r="BL59" s="7">
        <v>8268.33</v>
      </c>
      <c r="BM59" s="17">
        <f t="shared" si="14"/>
        <v>14570.39</v>
      </c>
      <c r="BN59" s="18">
        <f t="shared" si="25"/>
        <v>527.1299999999992</v>
      </c>
      <c r="BO59" s="19">
        <f t="shared" si="26"/>
        <v>-156.24229982169302</v>
      </c>
      <c r="BP59" s="15">
        <f t="shared" si="27"/>
        <v>370.8877001783062</v>
      </c>
      <c r="BQ59" s="11">
        <f t="shared" si="28"/>
        <v>1045.9033145028234</v>
      </c>
      <c r="BR59" s="46">
        <f t="shared" si="29"/>
        <v>2949.1139371933978</v>
      </c>
      <c r="BS59" s="22">
        <v>2</v>
      </c>
      <c r="BT59" s="7" t="s">
        <v>39</v>
      </c>
      <c r="BU59" s="12">
        <v>6</v>
      </c>
      <c r="BV59" s="7" t="s">
        <v>54</v>
      </c>
      <c r="BW59" s="7" t="s">
        <v>47</v>
      </c>
      <c r="BX59" s="8">
        <v>43585</v>
      </c>
      <c r="BY59" s="16"/>
      <c r="BZ59" s="7">
        <v>15040.32</v>
      </c>
      <c r="CA59" s="7"/>
      <c r="CB59" s="7"/>
      <c r="CC59" s="7"/>
      <c r="CD59" s="7">
        <v>8268.33</v>
      </c>
      <c r="CE59" s="17">
        <v>15040.32</v>
      </c>
      <c r="CF59" s="18">
        <f t="shared" si="30"/>
        <v>469.9300000000003</v>
      </c>
      <c r="CG59" s="19">
        <f t="shared" si="31"/>
        <v>25.23748210125639</v>
      </c>
      <c r="CH59" s="20">
        <f t="shared" si="32"/>
        <v>495.16748210125667</v>
      </c>
      <c r="CI59" s="11">
        <f t="shared" si="33"/>
        <v>1396.3722995255437</v>
      </c>
      <c r="CJ59" s="46">
        <f t="shared" si="34"/>
        <v>4345.486236718942</v>
      </c>
      <c r="CK59" s="22">
        <v>2</v>
      </c>
      <c r="CL59" s="7" t="s">
        <v>39</v>
      </c>
      <c r="CM59" s="12">
        <v>6</v>
      </c>
      <c r="CN59" s="7" t="s">
        <v>54</v>
      </c>
      <c r="CO59" s="7" t="s">
        <v>47</v>
      </c>
      <c r="CP59" s="8">
        <v>43615</v>
      </c>
      <c r="CQ59" s="16">
        <v>4350</v>
      </c>
      <c r="CR59" s="7">
        <v>15497.9</v>
      </c>
      <c r="CS59" s="7"/>
      <c r="CT59" s="7"/>
      <c r="CU59" s="7"/>
      <c r="CV59" s="7">
        <v>8268.33</v>
      </c>
      <c r="CW59" s="17">
        <v>15497.9</v>
      </c>
      <c r="CX59" s="18">
        <f t="shared" si="35"/>
        <v>457.5799999999999</v>
      </c>
      <c r="CY59" s="19">
        <f t="shared" si="36"/>
        <v>197.09516652603176</v>
      </c>
      <c r="CZ59" s="15">
        <f t="shared" si="37"/>
        <v>654.6751665260317</v>
      </c>
      <c r="DA59" s="11">
        <f t="shared" si="38"/>
        <v>1846.1839696034094</v>
      </c>
      <c r="DB59" s="46">
        <f t="shared" si="39"/>
        <v>1841.670206322351</v>
      </c>
      <c r="DC59" s="22">
        <v>2</v>
      </c>
      <c r="DD59" s="7" t="s">
        <v>39</v>
      </c>
      <c r="DE59" s="1">
        <v>6</v>
      </c>
      <c r="DF59" s="2" t="s">
        <v>54</v>
      </c>
      <c r="DG59" s="2" t="s">
        <v>47</v>
      </c>
      <c r="DH59" s="30">
        <v>43646</v>
      </c>
      <c r="DI59" s="37"/>
      <c r="DJ59" s="31">
        <v>15856.87</v>
      </c>
      <c r="DK59" s="58"/>
      <c r="DL59" s="58"/>
      <c r="DM59" s="58"/>
      <c r="DN59" s="35">
        <v>8268.33</v>
      </c>
      <c r="DO59" s="57">
        <f t="shared" si="15"/>
        <v>15856.87</v>
      </c>
      <c r="DP59" s="18">
        <f t="shared" si="40"/>
        <v>358.97000000000116</v>
      </c>
      <c r="DQ59" s="19">
        <f t="shared" si="41"/>
        <v>-6.630327948659844</v>
      </c>
      <c r="DR59" s="15">
        <f t="shared" si="42"/>
        <v>352.3396720513413</v>
      </c>
      <c r="DS59" s="11">
        <f t="shared" si="43"/>
        <v>993.5978751847824</v>
      </c>
      <c r="DT59" s="46">
        <f t="shared" si="44"/>
        <v>2835.2680815071335</v>
      </c>
      <c r="DU59" s="22">
        <v>2</v>
      </c>
      <c r="DV59" s="7" t="s">
        <v>39</v>
      </c>
      <c r="DW59" s="12">
        <v>6</v>
      </c>
      <c r="DX59" s="7" t="s">
        <v>54</v>
      </c>
      <c r="DY59" s="7" t="s">
        <v>47</v>
      </c>
      <c r="DZ59" s="8">
        <v>43677</v>
      </c>
      <c r="EA59" s="16">
        <v>2835</v>
      </c>
      <c r="EB59" s="7">
        <v>16214.050000000001</v>
      </c>
      <c r="EC59" s="7"/>
      <c r="ED59" s="7"/>
      <c r="EE59" s="7"/>
      <c r="EF59" s="7">
        <v>8268.33</v>
      </c>
      <c r="EG59" s="17">
        <v>16214.050000000001</v>
      </c>
      <c r="EH59" s="18">
        <f t="shared" si="45"/>
        <v>357.1800000000003</v>
      </c>
      <c r="EI59" s="19">
        <f t="shared" si="46"/>
        <v>61.69803161848773</v>
      </c>
      <c r="EJ59" s="15">
        <f t="shared" si="47"/>
        <v>418.878031618488</v>
      </c>
      <c r="EK59" s="11">
        <f t="shared" si="48"/>
        <v>1214.7462916936151</v>
      </c>
      <c r="EL59" s="125">
        <f t="shared" si="49"/>
        <v>1215.0143732007487</v>
      </c>
      <c r="EM59" s="22">
        <v>2</v>
      </c>
      <c r="EN59" s="7" t="s">
        <v>39</v>
      </c>
      <c r="EO59" s="12">
        <v>6</v>
      </c>
      <c r="EP59" s="7" t="s">
        <v>54</v>
      </c>
      <c r="EQ59" s="7" t="s">
        <v>47</v>
      </c>
      <c r="ER59" s="8">
        <v>43708</v>
      </c>
      <c r="ES59" s="16">
        <v>1215</v>
      </c>
      <c r="ET59" s="7">
        <v>16612.02</v>
      </c>
      <c r="EU59" s="7"/>
      <c r="EV59" s="7"/>
      <c r="EW59" s="7"/>
      <c r="EX59" s="7">
        <v>8268.33</v>
      </c>
      <c r="EY59" s="17">
        <f t="shared" si="16"/>
        <v>16612.02</v>
      </c>
      <c r="EZ59" s="18">
        <f t="shared" si="50"/>
        <v>397.96999999999935</v>
      </c>
      <c r="FA59" s="19">
        <f t="shared" si="51"/>
        <v>45.33098946141009</v>
      </c>
      <c r="FB59" s="15">
        <f t="shared" si="52"/>
        <v>443.3009894614094</v>
      </c>
      <c r="FC59" s="11">
        <f t="shared" si="53"/>
        <v>1285.5728694380873</v>
      </c>
      <c r="FD59" s="21">
        <f t="shared" si="54"/>
        <v>1285.587242638836</v>
      </c>
      <c r="FE59" s="22">
        <v>2</v>
      </c>
      <c r="FF59" s="7" t="s">
        <v>39</v>
      </c>
      <c r="FG59" s="7">
        <v>6</v>
      </c>
      <c r="FH59" s="7" t="s">
        <v>54</v>
      </c>
      <c r="FI59" s="7" t="s">
        <v>47</v>
      </c>
      <c r="FJ59" s="8">
        <v>43735</v>
      </c>
      <c r="FK59" s="16">
        <v>1286</v>
      </c>
      <c r="FL59" s="7">
        <v>16930.87</v>
      </c>
      <c r="FM59" s="7"/>
      <c r="FN59" s="7"/>
      <c r="FO59" s="7"/>
      <c r="FP59" s="7">
        <v>8268.33</v>
      </c>
      <c r="FQ59" s="17">
        <v>16930.87</v>
      </c>
      <c r="FR59" s="18">
        <f t="shared" si="55"/>
        <v>318.84999999999854</v>
      </c>
      <c r="FS59" s="19">
        <f t="shared" si="56"/>
        <v>2.3857935280871487</v>
      </c>
      <c r="FT59" s="15">
        <f t="shared" si="57"/>
        <v>321.2357935280857</v>
      </c>
      <c r="FU59" s="11">
        <f t="shared" si="58"/>
        <v>931.5838012314485</v>
      </c>
      <c r="FV59" s="128">
        <f t="shared" si="17"/>
        <v>-70.74249085225232</v>
      </c>
      <c r="FW59" s="13">
        <f t="shared" si="59"/>
        <v>860.8413103791962</v>
      </c>
      <c r="FX59" s="21">
        <f t="shared" si="60"/>
        <v>860.4285530180322</v>
      </c>
      <c r="FY59" s="22">
        <v>2</v>
      </c>
      <c r="FZ59" s="7" t="s">
        <v>39</v>
      </c>
      <c r="GA59" s="134">
        <v>6</v>
      </c>
      <c r="GB59" s="135" t="s">
        <v>54</v>
      </c>
      <c r="GC59" s="135" t="s">
        <v>47</v>
      </c>
      <c r="GD59" s="136">
        <v>43771</v>
      </c>
      <c r="GE59" s="138">
        <v>860</v>
      </c>
      <c r="GF59" s="139">
        <v>17412.47</v>
      </c>
      <c r="GG59" s="3"/>
      <c r="GH59" s="3"/>
      <c r="GI59" s="3"/>
      <c r="GJ59" s="3">
        <v>8268.33</v>
      </c>
      <c r="GK59" s="32">
        <f t="shared" si="18"/>
        <v>17412.47</v>
      </c>
      <c r="GL59" s="18">
        <f t="shared" si="61"/>
        <v>481.6000000000022</v>
      </c>
      <c r="GM59" s="19">
        <f t="shared" si="62"/>
        <v>-55.72251936242236</v>
      </c>
      <c r="GN59" s="15">
        <f t="shared" si="63"/>
        <v>425.8774806375798</v>
      </c>
      <c r="GO59" s="11">
        <f t="shared" si="64"/>
        <v>1235.0446938489815</v>
      </c>
      <c r="GP59" s="7">
        <f t="shared" si="19"/>
        <v>-182.36682117302075</v>
      </c>
      <c r="GQ59" s="13">
        <f t="shared" si="65"/>
        <v>1052.6778726759608</v>
      </c>
      <c r="GR59" s="46">
        <f t="shared" si="66"/>
        <v>1053.106425693993</v>
      </c>
      <c r="GS59" s="22">
        <v>2</v>
      </c>
      <c r="GT59" s="7" t="s">
        <v>39</v>
      </c>
      <c r="GU59" s="148">
        <v>6</v>
      </c>
      <c r="GV59" s="148" t="s">
        <v>54</v>
      </c>
      <c r="GW59" s="148" t="s">
        <v>47</v>
      </c>
      <c r="GX59" s="155">
        <v>43795</v>
      </c>
      <c r="GY59" s="156"/>
      <c r="GZ59" s="148">
        <v>17794.44</v>
      </c>
      <c r="HA59" s="157"/>
      <c r="HB59" s="157"/>
      <c r="HC59" s="157"/>
      <c r="HD59" s="157">
        <v>8268.33</v>
      </c>
      <c r="HE59" s="158">
        <f t="shared" si="20"/>
        <v>17794.44</v>
      </c>
      <c r="HF59" s="18">
        <f t="shared" si="67"/>
        <v>381.9699999999975</v>
      </c>
      <c r="HG59" s="19">
        <f t="shared" si="68"/>
        <v>93.62107339105766</v>
      </c>
      <c r="HH59" s="15">
        <f t="shared" si="69"/>
        <v>475.5910733910552</v>
      </c>
      <c r="HI59" s="11">
        <f t="shared" si="70"/>
        <v>1379.21411283406</v>
      </c>
      <c r="HJ59" s="7">
        <f t="shared" si="71"/>
        <v>-174.5613358150638</v>
      </c>
      <c r="HK59" s="13">
        <f t="shared" si="72"/>
        <v>1204.6527770189962</v>
      </c>
      <c r="HL59" s="46">
        <f t="shared" si="73"/>
        <v>2257.7592027129895</v>
      </c>
      <c r="HM59" s="22">
        <v>2</v>
      </c>
      <c r="HN59" s="7" t="s">
        <v>39</v>
      </c>
      <c r="HO59" s="12">
        <v>6</v>
      </c>
      <c r="HP59" s="7" t="s">
        <v>54</v>
      </c>
      <c r="HQ59" s="7" t="s">
        <v>47</v>
      </c>
      <c r="HR59" s="8">
        <v>43830</v>
      </c>
      <c r="HS59" s="171">
        <v>2258</v>
      </c>
      <c r="HT59" s="7">
        <v>18274.96</v>
      </c>
      <c r="HU59" s="7"/>
      <c r="HV59" s="7"/>
      <c r="HW59" s="7"/>
      <c r="HX59" s="7">
        <v>8268.33</v>
      </c>
      <c r="HY59" s="17">
        <v>18274.96</v>
      </c>
      <c r="HZ59" s="18">
        <f t="shared" si="74"/>
        <v>480.52000000000044</v>
      </c>
      <c r="IA59" s="19">
        <f t="shared" si="75"/>
        <v>57.66240000000009</v>
      </c>
      <c r="IB59" s="20">
        <f t="shared" si="76"/>
        <v>538.1824000000005</v>
      </c>
      <c r="IC59" s="11">
        <f t="shared" si="77"/>
        <v>1560.7289600000013</v>
      </c>
      <c r="ID59" s="7">
        <f t="shared" si="78"/>
        <v>-158.76055731469398</v>
      </c>
      <c r="IE59" s="13">
        <f t="shared" si="79"/>
        <v>1401.9684026853074</v>
      </c>
      <c r="IF59" s="46">
        <f t="shared" si="80"/>
        <v>1401.7276053982969</v>
      </c>
      <c r="IG59" s="22">
        <v>2</v>
      </c>
      <c r="IH59" s="7" t="s">
        <v>39</v>
      </c>
    </row>
    <row r="60" spans="1:242" ht="19.5" customHeight="1">
      <c r="A60" s="10">
        <v>7</v>
      </c>
      <c r="B60" s="6" t="s">
        <v>55</v>
      </c>
      <c r="C60" s="6" t="s">
        <v>79</v>
      </c>
      <c r="D60" s="5">
        <v>43100</v>
      </c>
      <c r="F60" s="6">
        <v>2682.2400000000002</v>
      </c>
      <c r="G60" s="6">
        <v>-1433.3799999999999</v>
      </c>
      <c r="H60" s="6">
        <v>1248.8600000000004</v>
      </c>
      <c r="J60" s="6">
        <v>0.010000000000218279</v>
      </c>
      <c r="K60" s="6">
        <v>-0.0014353207373107816</v>
      </c>
      <c r="L60" s="6">
        <v>0.008564679262907497</v>
      </c>
      <c r="M60" s="6">
        <v>0.022696400046704864</v>
      </c>
      <c r="N60" s="6">
        <v>-509.344666504822</v>
      </c>
      <c r="O60" s="10">
        <v>2</v>
      </c>
      <c r="P60" s="6" t="s">
        <v>39</v>
      </c>
      <c r="Q60" s="1">
        <v>7</v>
      </c>
      <c r="R60" s="56" t="s">
        <v>55</v>
      </c>
      <c r="S60" s="54">
        <v>3151.57</v>
      </c>
      <c r="T60" s="55">
        <v>-15.8694316284131</v>
      </c>
      <c r="U60" s="2" t="s">
        <v>79</v>
      </c>
      <c r="V60" s="30">
        <v>43496</v>
      </c>
      <c r="W60" s="37"/>
      <c r="X60" s="31">
        <v>3151.57</v>
      </c>
      <c r="Y60" s="31"/>
      <c r="Z60" s="31"/>
      <c r="AA60" s="31"/>
      <c r="AB60" s="31">
        <v>-1433.3799999999999</v>
      </c>
      <c r="AC60" s="57">
        <f t="shared" si="6"/>
        <v>3151.57</v>
      </c>
      <c r="AD60" s="34">
        <f t="shared" si="7"/>
        <v>0</v>
      </c>
      <c r="AE60" s="38">
        <f t="shared" si="8"/>
        <v>0</v>
      </c>
      <c r="AF60" s="39">
        <f t="shared" si="9"/>
        <v>0</v>
      </c>
      <c r="AG60" s="4">
        <f t="shared" si="21"/>
        <v>0</v>
      </c>
      <c r="AH60" s="40">
        <f t="shared" si="10"/>
        <v>-15.8694316284131</v>
      </c>
      <c r="AI60" s="41">
        <v>2</v>
      </c>
      <c r="AJ60" s="36" t="s">
        <v>39</v>
      </c>
      <c r="AK60" s="1">
        <v>7</v>
      </c>
      <c r="AL60" s="2" t="s">
        <v>55</v>
      </c>
      <c r="AM60" s="2" t="s">
        <v>79</v>
      </c>
      <c r="AN60" s="72">
        <v>43521</v>
      </c>
      <c r="AO60" s="73"/>
      <c r="AP60" s="74">
        <v>3151.57</v>
      </c>
      <c r="AQ60" s="74"/>
      <c r="AR60" s="74"/>
      <c r="AS60" s="74"/>
      <c r="AT60" s="74">
        <v>-1433.3799999999999</v>
      </c>
      <c r="AU60" s="79">
        <f t="shared" si="11"/>
        <v>3151.57</v>
      </c>
      <c r="AV60" s="81">
        <f t="shared" si="12"/>
        <v>0</v>
      </c>
      <c r="AW60" s="80">
        <f t="shared" si="13"/>
        <v>0</v>
      </c>
      <c r="AX60" s="85">
        <f t="shared" si="22"/>
        <v>0</v>
      </c>
      <c r="AY60" s="91">
        <f t="shared" si="23"/>
        <v>0</v>
      </c>
      <c r="AZ60" s="88">
        <f t="shared" si="24"/>
        <v>-15.8694316284131</v>
      </c>
      <c r="BA60" s="22">
        <v>2</v>
      </c>
      <c r="BB60" s="7" t="s">
        <v>39</v>
      </c>
      <c r="BC60" s="12">
        <v>7</v>
      </c>
      <c r="BD60" s="7" t="s">
        <v>55</v>
      </c>
      <c r="BE60" s="7" t="s">
        <v>79</v>
      </c>
      <c r="BF60" s="8">
        <v>43555</v>
      </c>
      <c r="BG60" s="16"/>
      <c r="BH60" s="7">
        <v>3151.57</v>
      </c>
      <c r="BI60" s="7"/>
      <c r="BJ60" s="7"/>
      <c r="BK60" s="7"/>
      <c r="BL60" s="7">
        <v>-1433.3799999999999</v>
      </c>
      <c r="BM60" s="17">
        <f t="shared" si="14"/>
        <v>3151.57</v>
      </c>
      <c r="BN60" s="18">
        <f t="shared" si="25"/>
        <v>0</v>
      </c>
      <c r="BO60" s="19">
        <f t="shared" si="26"/>
        <v>0</v>
      </c>
      <c r="BP60" s="15">
        <f t="shared" si="27"/>
        <v>0</v>
      </c>
      <c r="BQ60" s="11">
        <f t="shared" si="28"/>
        <v>0</v>
      </c>
      <c r="BR60" s="46">
        <f t="shared" si="29"/>
        <v>-15.8694316284131</v>
      </c>
      <c r="BS60" s="22">
        <v>2</v>
      </c>
      <c r="BT60" s="7" t="s">
        <v>39</v>
      </c>
      <c r="BU60" s="12">
        <v>7</v>
      </c>
      <c r="BV60" s="7" t="s">
        <v>55</v>
      </c>
      <c r="BW60" s="7" t="s">
        <v>79</v>
      </c>
      <c r="BX60" s="8">
        <v>43585</v>
      </c>
      <c r="BY60" s="16"/>
      <c r="BZ60" s="7">
        <v>3151.57</v>
      </c>
      <c r="CA60" s="7"/>
      <c r="CB60" s="7"/>
      <c r="CC60" s="7"/>
      <c r="CD60" s="7">
        <v>-1433.3799999999999</v>
      </c>
      <c r="CE60" s="17">
        <v>3151.57</v>
      </c>
      <c r="CF60" s="18">
        <f t="shared" si="30"/>
        <v>0</v>
      </c>
      <c r="CG60" s="19">
        <f t="shared" si="31"/>
        <v>0</v>
      </c>
      <c r="CH60" s="20">
        <f t="shared" si="32"/>
        <v>0</v>
      </c>
      <c r="CI60" s="11">
        <f t="shared" si="33"/>
        <v>0</v>
      </c>
      <c r="CJ60" s="46">
        <f t="shared" si="34"/>
        <v>-15.8694316284131</v>
      </c>
      <c r="CK60" s="22">
        <v>2</v>
      </c>
      <c r="CL60" s="7" t="s">
        <v>39</v>
      </c>
      <c r="CM60" s="12">
        <v>7</v>
      </c>
      <c r="CN60" s="7" t="s">
        <v>55</v>
      </c>
      <c r="CO60" s="7" t="s">
        <v>79</v>
      </c>
      <c r="CP60" s="8">
        <v>43615</v>
      </c>
      <c r="CQ60" s="16">
        <v>1400</v>
      </c>
      <c r="CR60" s="7">
        <v>3161.2200000000003</v>
      </c>
      <c r="CS60" s="7"/>
      <c r="CT60" s="7"/>
      <c r="CU60" s="7"/>
      <c r="CV60" s="7">
        <v>-1433.3799999999999</v>
      </c>
      <c r="CW60" s="17">
        <v>3161.2200000000003</v>
      </c>
      <c r="CX60" s="18">
        <f t="shared" si="35"/>
        <v>9.650000000000091</v>
      </c>
      <c r="CY60" s="19">
        <f t="shared" si="36"/>
        <v>4.156581050256184</v>
      </c>
      <c r="CZ60" s="15">
        <f t="shared" si="37"/>
        <v>13.806581050256275</v>
      </c>
      <c r="DA60" s="11">
        <f t="shared" si="38"/>
        <v>38.934558561722696</v>
      </c>
      <c r="DB60" s="46">
        <f t="shared" si="39"/>
        <v>-1376.9348730666904</v>
      </c>
      <c r="DC60" s="22">
        <v>2</v>
      </c>
      <c r="DD60" s="7" t="s">
        <v>39</v>
      </c>
      <c r="DE60" s="1">
        <v>7</v>
      </c>
      <c r="DF60" s="2" t="s">
        <v>55</v>
      </c>
      <c r="DG60" s="2" t="s">
        <v>79</v>
      </c>
      <c r="DH60" s="30">
        <v>43646</v>
      </c>
      <c r="DI60" s="37"/>
      <c r="DJ60" s="31">
        <v>3211.79</v>
      </c>
      <c r="DK60" s="58"/>
      <c r="DL60" s="58"/>
      <c r="DM60" s="58"/>
      <c r="DN60" s="35">
        <v>-1433.3799999999999</v>
      </c>
      <c r="DO60" s="57">
        <f t="shared" si="15"/>
        <v>3211.79</v>
      </c>
      <c r="DP60" s="18">
        <f t="shared" si="40"/>
        <v>50.56999999999971</v>
      </c>
      <c r="DQ60" s="19">
        <f t="shared" si="41"/>
        <v>-0.9340493198978336</v>
      </c>
      <c r="DR60" s="15">
        <f t="shared" si="42"/>
        <v>49.63595068010188</v>
      </c>
      <c r="DS60" s="11">
        <f t="shared" si="43"/>
        <v>139.97338091788728</v>
      </c>
      <c r="DT60" s="46">
        <f t="shared" si="44"/>
        <v>-1236.9614921488032</v>
      </c>
      <c r="DU60" s="22">
        <v>2</v>
      </c>
      <c r="DV60" s="7" t="s">
        <v>39</v>
      </c>
      <c r="DW60" s="12">
        <v>7</v>
      </c>
      <c r="DX60" s="7" t="s">
        <v>55</v>
      </c>
      <c r="DY60" s="7" t="s">
        <v>79</v>
      </c>
      <c r="DZ60" s="8">
        <v>43677</v>
      </c>
      <c r="EA60" s="16"/>
      <c r="EB60" s="7">
        <v>3306.21</v>
      </c>
      <c r="EC60" s="7"/>
      <c r="ED60" s="7"/>
      <c r="EE60" s="7"/>
      <c r="EF60" s="7">
        <v>-1433.3799999999999</v>
      </c>
      <c r="EG60" s="17">
        <v>3306.21</v>
      </c>
      <c r="EH60" s="18">
        <f t="shared" si="45"/>
        <v>94.42000000000007</v>
      </c>
      <c r="EI60" s="19">
        <f t="shared" si="46"/>
        <v>16.309782589779974</v>
      </c>
      <c r="EJ60" s="15">
        <f t="shared" si="47"/>
        <v>110.72978258978004</v>
      </c>
      <c r="EK60" s="11">
        <f t="shared" si="48"/>
        <v>321.1163695103621</v>
      </c>
      <c r="EL60" s="125">
        <f t="shared" si="49"/>
        <v>-915.8451226384411</v>
      </c>
      <c r="EM60" s="22">
        <v>2</v>
      </c>
      <c r="EN60" s="7" t="s">
        <v>39</v>
      </c>
      <c r="EO60" s="12">
        <v>7</v>
      </c>
      <c r="EP60" s="7" t="s">
        <v>55</v>
      </c>
      <c r="EQ60" s="7" t="s">
        <v>79</v>
      </c>
      <c r="ER60" s="8">
        <v>43708</v>
      </c>
      <c r="ES60" s="16"/>
      <c r="ET60" s="7">
        <v>3402.8</v>
      </c>
      <c r="EU60" s="7"/>
      <c r="EV60" s="7"/>
      <c r="EW60" s="7"/>
      <c r="EX60" s="7">
        <v>-1433.3799999999999</v>
      </c>
      <c r="EY60" s="17">
        <f t="shared" si="16"/>
        <v>3402.8</v>
      </c>
      <c r="EZ60" s="18">
        <f t="shared" si="50"/>
        <v>96.59000000000015</v>
      </c>
      <c r="FA60" s="19">
        <f t="shared" si="51"/>
        <v>11.002136523048508</v>
      </c>
      <c r="FB60" s="15">
        <f t="shared" si="52"/>
        <v>107.59213652304865</v>
      </c>
      <c r="FC60" s="11">
        <f t="shared" si="53"/>
        <v>312.0171959168411</v>
      </c>
      <c r="FD60" s="21">
        <f t="shared" si="54"/>
        <v>-603.8279267216001</v>
      </c>
      <c r="FE60" s="22">
        <v>2</v>
      </c>
      <c r="FF60" s="7" t="s">
        <v>39</v>
      </c>
      <c r="FG60" s="7">
        <v>7</v>
      </c>
      <c r="FH60" s="7" t="s">
        <v>55</v>
      </c>
      <c r="FI60" s="7" t="s">
        <v>79</v>
      </c>
      <c r="FJ60" s="8">
        <v>43735</v>
      </c>
      <c r="FK60" s="16"/>
      <c r="FL60" s="7">
        <v>3481.48</v>
      </c>
      <c r="FM60" s="7"/>
      <c r="FN60" s="7"/>
      <c r="FO60" s="7"/>
      <c r="FP60" s="7">
        <v>-1433.3799999999999</v>
      </c>
      <c r="FQ60" s="17">
        <v>3481.48</v>
      </c>
      <c r="FR60" s="18">
        <f t="shared" si="55"/>
        <v>78.67999999999984</v>
      </c>
      <c r="FS60" s="19">
        <f t="shared" si="56"/>
        <v>0.5887227059429115</v>
      </c>
      <c r="FT60" s="15">
        <f t="shared" si="57"/>
        <v>79.26872270594275</v>
      </c>
      <c r="FU60" s="11">
        <f t="shared" si="58"/>
        <v>229.87929584723398</v>
      </c>
      <c r="FV60" s="128">
        <f t="shared" si="17"/>
        <v>-17.45654439471609</v>
      </c>
      <c r="FW60" s="13">
        <f t="shared" si="59"/>
        <v>212.4227514525179</v>
      </c>
      <c r="FX60" s="21">
        <f t="shared" si="60"/>
        <v>-391.4051752690822</v>
      </c>
      <c r="FY60" s="22">
        <v>2</v>
      </c>
      <c r="FZ60" s="7" t="s">
        <v>39</v>
      </c>
      <c r="GA60" s="134">
        <v>7</v>
      </c>
      <c r="GB60" s="135" t="s">
        <v>55</v>
      </c>
      <c r="GC60" s="135" t="s">
        <v>79</v>
      </c>
      <c r="GD60" s="136">
        <v>43771</v>
      </c>
      <c r="GE60" s="138"/>
      <c r="GF60" s="139">
        <v>3523.98</v>
      </c>
      <c r="GG60" s="3"/>
      <c r="GH60" s="3"/>
      <c r="GI60" s="3"/>
      <c r="GJ60" s="3">
        <v>-1433.3799999999999</v>
      </c>
      <c r="GK60" s="32">
        <f t="shared" si="18"/>
        <v>3523.98</v>
      </c>
      <c r="GL60" s="18">
        <f t="shared" si="61"/>
        <v>42.5</v>
      </c>
      <c r="GM60" s="19">
        <f t="shared" si="62"/>
        <v>-4.917373490246967</v>
      </c>
      <c r="GN60" s="15">
        <f t="shared" si="63"/>
        <v>37.582626509753034</v>
      </c>
      <c r="GO60" s="11">
        <f t="shared" si="64"/>
        <v>108.9896168782838</v>
      </c>
      <c r="GP60" s="7">
        <f t="shared" si="19"/>
        <v>-16.093417566140673</v>
      </c>
      <c r="GQ60" s="13">
        <f t="shared" si="65"/>
        <v>92.89619931214312</v>
      </c>
      <c r="GR60" s="46">
        <f t="shared" si="66"/>
        <v>-298.508975956939</v>
      </c>
      <c r="GS60" s="22">
        <v>2</v>
      </c>
      <c r="GT60" s="7" t="s">
        <v>39</v>
      </c>
      <c r="GU60" s="148">
        <v>7</v>
      </c>
      <c r="GV60" s="148" t="s">
        <v>55</v>
      </c>
      <c r="GW60" s="148" t="s">
        <v>79</v>
      </c>
      <c r="GX60" s="155">
        <v>43797</v>
      </c>
      <c r="GY60" s="156"/>
      <c r="GZ60" s="148">
        <v>3526.94</v>
      </c>
      <c r="HA60" s="157"/>
      <c r="HB60" s="157"/>
      <c r="HC60" s="157"/>
      <c r="HD60" s="157">
        <v>-1433.3799999999999</v>
      </c>
      <c r="HE60" s="158">
        <f t="shared" si="20"/>
        <v>3526.94</v>
      </c>
      <c r="HF60" s="18">
        <f t="shared" si="67"/>
        <v>2.9600000000000364</v>
      </c>
      <c r="HG60" s="19">
        <f t="shared" si="68"/>
        <v>0.7254977543721651</v>
      </c>
      <c r="HH60" s="15">
        <f t="shared" si="69"/>
        <v>3.6854977543722014</v>
      </c>
      <c r="HI60" s="11">
        <f t="shared" si="70"/>
        <v>10.687943487679384</v>
      </c>
      <c r="HJ60" s="7">
        <f t="shared" si="71"/>
        <v>-1.3527281043343682</v>
      </c>
      <c r="HK60" s="13">
        <f t="shared" si="72"/>
        <v>9.335215383345016</v>
      </c>
      <c r="HL60" s="46">
        <f t="shared" si="73"/>
        <v>-289.173760573594</v>
      </c>
      <c r="HM60" s="22">
        <v>2</v>
      </c>
      <c r="HN60" s="7" t="s">
        <v>39</v>
      </c>
      <c r="HO60" s="12">
        <v>7</v>
      </c>
      <c r="HP60" s="7" t="s">
        <v>55</v>
      </c>
      <c r="HQ60" s="7" t="s">
        <v>79</v>
      </c>
      <c r="HR60" s="8">
        <v>43830</v>
      </c>
      <c r="HS60" s="171"/>
      <c r="HT60" s="7">
        <v>3526.94</v>
      </c>
      <c r="HU60" s="7"/>
      <c r="HV60" s="7"/>
      <c r="HW60" s="7"/>
      <c r="HX60" s="7">
        <v>-1433.3799999999999</v>
      </c>
      <c r="HY60" s="17">
        <v>3526.94</v>
      </c>
      <c r="HZ60" s="18">
        <f t="shared" si="74"/>
        <v>0</v>
      </c>
      <c r="IA60" s="19">
        <f t="shared" si="75"/>
        <v>0</v>
      </c>
      <c r="IB60" s="20">
        <f t="shared" si="76"/>
        <v>0</v>
      </c>
      <c r="IC60" s="11">
        <f t="shared" si="77"/>
        <v>0</v>
      </c>
      <c r="ID60" s="7">
        <f t="shared" si="78"/>
        <v>0</v>
      </c>
      <c r="IE60" s="13">
        <f t="shared" si="79"/>
        <v>0</v>
      </c>
      <c r="IF60" s="46">
        <f t="shared" si="80"/>
        <v>-289.173760573594</v>
      </c>
      <c r="IG60" s="22">
        <v>2</v>
      </c>
      <c r="IH60" s="7" t="s">
        <v>39</v>
      </c>
    </row>
    <row r="61" spans="1:242" ht="19.5" customHeight="1">
      <c r="A61" s="10">
        <v>8</v>
      </c>
      <c r="B61" s="6" t="s">
        <v>56</v>
      </c>
      <c r="C61" s="6" t="s">
        <v>14</v>
      </c>
      <c r="D61" s="5">
        <v>43100</v>
      </c>
      <c r="F61" s="6">
        <v>1941.57</v>
      </c>
      <c r="H61" s="6">
        <v>1941.57</v>
      </c>
      <c r="J61" s="6">
        <v>64.30999999999995</v>
      </c>
      <c r="K61" s="6">
        <v>-9.230547661444145</v>
      </c>
      <c r="L61" s="6">
        <v>55.0794523385558</v>
      </c>
      <c r="M61" s="6">
        <v>145.96054869717287</v>
      </c>
      <c r="N61" s="6">
        <v>433.0392186792077</v>
      </c>
      <c r="O61" s="10">
        <v>1</v>
      </c>
      <c r="P61" s="6" t="s">
        <v>39</v>
      </c>
      <c r="Q61" s="1">
        <v>8</v>
      </c>
      <c r="R61" s="56" t="s">
        <v>56</v>
      </c>
      <c r="S61" s="54">
        <v>2743.35</v>
      </c>
      <c r="T61" s="55">
        <v>288.32411640019774</v>
      </c>
      <c r="U61" s="2" t="s">
        <v>14</v>
      </c>
      <c r="V61" s="30">
        <v>43496</v>
      </c>
      <c r="W61" s="37"/>
      <c r="X61" s="31">
        <v>2773.91</v>
      </c>
      <c r="Y61" s="31"/>
      <c r="Z61" s="31"/>
      <c r="AA61" s="31"/>
      <c r="AB61" s="31"/>
      <c r="AC61" s="57">
        <f t="shared" si="6"/>
        <v>2773.91</v>
      </c>
      <c r="AD61" s="34">
        <f t="shared" si="7"/>
        <v>30.559999999999945</v>
      </c>
      <c r="AE61" s="38">
        <f t="shared" si="8"/>
        <v>4.116209723443764</v>
      </c>
      <c r="AF61" s="39">
        <f t="shared" si="9"/>
        <v>34.67620972344371</v>
      </c>
      <c r="AG61" s="4">
        <f t="shared" si="21"/>
        <v>96.05310093393908</v>
      </c>
      <c r="AH61" s="40">
        <f t="shared" si="10"/>
        <v>384.37721733413684</v>
      </c>
      <c r="AI61" s="41">
        <v>1</v>
      </c>
      <c r="AJ61" s="36" t="s">
        <v>39</v>
      </c>
      <c r="AK61" s="1">
        <v>8</v>
      </c>
      <c r="AL61" s="2" t="s">
        <v>56</v>
      </c>
      <c r="AM61" s="2" t="s">
        <v>14</v>
      </c>
      <c r="AN61" s="72">
        <v>43521</v>
      </c>
      <c r="AO61" s="73"/>
      <c r="AP61" s="74">
        <v>2787.05</v>
      </c>
      <c r="AQ61" s="74"/>
      <c r="AR61" s="74"/>
      <c r="AS61" s="74"/>
      <c r="AT61" s="74"/>
      <c r="AU61" s="79">
        <f t="shared" si="11"/>
        <v>2787.05</v>
      </c>
      <c r="AV61" s="81">
        <f t="shared" si="12"/>
        <v>13.140000000000327</v>
      </c>
      <c r="AW61" s="80">
        <f t="shared" si="13"/>
        <v>6.82501607804244</v>
      </c>
      <c r="AX61" s="85">
        <f t="shared" si="22"/>
        <v>19.965016078042765</v>
      </c>
      <c r="AY61" s="91">
        <f t="shared" si="23"/>
        <v>56.259760930966905</v>
      </c>
      <c r="AZ61" s="88">
        <f t="shared" si="24"/>
        <v>440.6369782651037</v>
      </c>
      <c r="BA61" s="22">
        <v>1</v>
      </c>
      <c r="BB61" s="7" t="s">
        <v>39</v>
      </c>
      <c r="BC61" s="12">
        <v>8</v>
      </c>
      <c r="BD61" s="7" t="s">
        <v>56</v>
      </c>
      <c r="BE61" s="7" t="s">
        <v>14</v>
      </c>
      <c r="BF61" s="8">
        <v>43555</v>
      </c>
      <c r="BG61" s="16"/>
      <c r="BH61" s="7">
        <v>2815.67</v>
      </c>
      <c r="BI61" s="7"/>
      <c r="BJ61" s="7"/>
      <c r="BK61" s="7"/>
      <c r="BL61" s="7"/>
      <c r="BM61" s="17">
        <f t="shared" si="14"/>
        <v>2815.67</v>
      </c>
      <c r="BN61" s="18">
        <f t="shared" si="25"/>
        <v>28.61999999999989</v>
      </c>
      <c r="BO61" s="19">
        <f t="shared" si="26"/>
        <v>-8.483020546917922</v>
      </c>
      <c r="BP61" s="15">
        <f t="shared" si="27"/>
        <v>20.13697945308197</v>
      </c>
      <c r="BQ61" s="11">
        <f t="shared" si="28"/>
        <v>56.78628205769115</v>
      </c>
      <c r="BR61" s="46">
        <f t="shared" si="29"/>
        <v>497.4232603227949</v>
      </c>
      <c r="BS61" s="22">
        <v>1</v>
      </c>
      <c r="BT61" s="7" t="s">
        <v>39</v>
      </c>
      <c r="BU61" s="12">
        <v>8</v>
      </c>
      <c r="BV61" s="7" t="s">
        <v>56</v>
      </c>
      <c r="BW61" s="7" t="s">
        <v>14</v>
      </c>
      <c r="BX61" s="8">
        <v>43585</v>
      </c>
      <c r="BY61" s="16">
        <v>1000</v>
      </c>
      <c r="BZ61" s="7">
        <v>2831.52</v>
      </c>
      <c r="CA61" s="7"/>
      <c r="CB61" s="7"/>
      <c r="CC61" s="7"/>
      <c r="CD61" s="7"/>
      <c r="CE61" s="17">
        <v>2831.52</v>
      </c>
      <c r="CF61" s="18">
        <f t="shared" si="30"/>
        <v>15.849999999999909</v>
      </c>
      <c r="CG61" s="19">
        <f t="shared" si="31"/>
        <v>0.8512205888215506</v>
      </c>
      <c r="CH61" s="20">
        <f t="shared" si="32"/>
        <v>16.70122058882146</v>
      </c>
      <c r="CI61" s="11">
        <f t="shared" si="33"/>
        <v>47.09744206047652</v>
      </c>
      <c r="CJ61" s="46">
        <f t="shared" si="34"/>
        <v>-455.4792976167286</v>
      </c>
      <c r="CK61" s="22">
        <v>1</v>
      </c>
      <c r="CL61" s="7" t="s">
        <v>39</v>
      </c>
      <c r="CM61" s="12">
        <v>8</v>
      </c>
      <c r="CN61" s="7" t="s">
        <v>56</v>
      </c>
      <c r="CO61" s="7" t="s">
        <v>14</v>
      </c>
      <c r="CP61" s="8">
        <v>43615</v>
      </c>
      <c r="CQ61" s="16"/>
      <c r="CR61" s="7">
        <v>2859.28</v>
      </c>
      <c r="CS61" s="7"/>
      <c r="CT61" s="7"/>
      <c r="CU61" s="7"/>
      <c r="CV61" s="7"/>
      <c r="CW61" s="17">
        <v>2859.28</v>
      </c>
      <c r="CX61" s="18">
        <f t="shared" si="35"/>
        <v>27.76000000000022</v>
      </c>
      <c r="CY61" s="19">
        <f t="shared" si="36"/>
        <v>11.95716994353487</v>
      </c>
      <c r="CZ61" s="15">
        <f t="shared" si="37"/>
        <v>39.71716994353509</v>
      </c>
      <c r="DA61" s="11">
        <f t="shared" si="38"/>
        <v>112.00241924076894</v>
      </c>
      <c r="DB61" s="46">
        <f t="shared" si="39"/>
        <v>-343.4768783759597</v>
      </c>
      <c r="DC61" s="22">
        <v>1</v>
      </c>
      <c r="DD61" s="7" t="s">
        <v>39</v>
      </c>
      <c r="DE61" s="1">
        <v>8</v>
      </c>
      <c r="DF61" s="2" t="s">
        <v>56</v>
      </c>
      <c r="DG61" s="2" t="s">
        <v>14</v>
      </c>
      <c r="DH61" s="30">
        <v>43646</v>
      </c>
      <c r="DI61" s="37"/>
      <c r="DJ61" s="31">
        <v>2970.83</v>
      </c>
      <c r="DK61" s="58"/>
      <c r="DL61" s="58"/>
      <c r="DM61" s="58"/>
      <c r="DN61" s="35"/>
      <c r="DO61" s="57">
        <f t="shared" si="15"/>
        <v>2970.83</v>
      </c>
      <c r="DP61" s="18">
        <f t="shared" si="40"/>
        <v>111.54999999999973</v>
      </c>
      <c r="DQ61" s="19">
        <f t="shared" si="41"/>
        <v>-2.060375749151744</v>
      </c>
      <c r="DR61" s="15">
        <f t="shared" si="42"/>
        <v>109.48962425084798</v>
      </c>
      <c r="DS61" s="11">
        <f t="shared" si="43"/>
        <v>308.7607403873913</v>
      </c>
      <c r="DT61" s="46">
        <f t="shared" si="44"/>
        <v>-34.71613798856839</v>
      </c>
      <c r="DU61" s="22">
        <v>1</v>
      </c>
      <c r="DV61" s="7" t="s">
        <v>39</v>
      </c>
      <c r="DW61" s="12">
        <v>8</v>
      </c>
      <c r="DX61" s="7" t="s">
        <v>56</v>
      </c>
      <c r="DY61" s="7" t="s">
        <v>14</v>
      </c>
      <c r="DZ61" s="8">
        <v>43677</v>
      </c>
      <c r="EA61" s="16"/>
      <c r="EB61" s="7">
        <v>3102.55</v>
      </c>
      <c r="EC61" s="7"/>
      <c r="ED61" s="7"/>
      <c r="EE61" s="7"/>
      <c r="EF61" s="7"/>
      <c r="EG61" s="17">
        <v>3102.55</v>
      </c>
      <c r="EH61" s="18">
        <f t="shared" si="45"/>
        <v>131.72000000000025</v>
      </c>
      <c r="EI61" s="19">
        <f t="shared" si="46"/>
        <v>22.752854932491218</v>
      </c>
      <c r="EJ61" s="15">
        <f t="shared" si="47"/>
        <v>154.4728549324915</v>
      </c>
      <c r="EK61" s="11">
        <f t="shared" si="48"/>
        <v>447.9712793042253</v>
      </c>
      <c r="EL61" s="125">
        <f t="shared" si="49"/>
        <v>413.2551413156569</v>
      </c>
      <c r="EM61" s="22">
        <v>1</v>
      </c>
      <c r="EN61" s="7" t="s">
        <v>39</v>
      </c>
      <c r="EO61" s="12">
        <v>8</v>
      </c>
      <c r="EP61" s="7" t="s">
        <v>56</v>
      </c>
      <c r="EQ61" s="7" t="s">
        <v>14</v>
      </c>
      <c r="ER61" s="8">
        <v>43708</v>
      </c>
      <c r="ES61" s="16"/>
      <c r="ET61" s="7">
        <v>3168.81</v>
      </c>
      <c r="EU61" s="7"/>
      <c r="EV61" s="7"/>
      <c r="EW61" s="7"/>
      <c r="EX61" s="7"/>
      <c r="EY61" s="17">
        <f t="shared" si="16"/>
        <v>3168.81</v>
      </c>
      <c r="EZ61" s="18">
        <f t="shared" si="50"/>
        <v>66.25999999999976</v>
      </c>
      <c r="FA61" s="19">
        <f t="shared" si="51"/>
        <v>7.547381364708462</v>
      </c>
      <c r="FB61" s="15">
        <f t="shared" si="52"/>
        <v>73.80738136470822</v>
      </c>
      <c r="FC61" s="11">
        <f t="shared" si="53"/>
        <v>214.04140595765384</v>
      </c>
      <c r="FD61" s="21">
        <f t="shared" si="54"/>
        <v>627.2965472733107</v>
      </c>
      <c r="FE61" s="22">
        <v>1</v>
      </c>
      <c r="FF61" s="7" t="s">
        <v>39</v>
      </c>
      <c r="FG61" s="7">
        <v>8</v>
      </c>
      <c r="FH61" s="7" t="s">
        <v>56</v>
      </c>
      <c r="FI61" s="7" t="s">
        <v>14</v>
      </c>
      <c r="FJ61" s="8">
        <v>43735</v>
      </c>
      <c r="FK61" s="16">
        <v>1000</v>
      </c>
      <c r="FL61" s="7">
        <v>3205.67</v>
      </c>
      <c r="FM61" s="7"/>
      <c r="FN61" s="7"/>
      <c r="FO61" s="7"/>
      <c r="FP61" s="7"/>
      <c r="FQ61" s="17">
        <v>3205.67</v>
      </c>
      <c r="FR61" s="18">
        <f t="shared" si="55"/>
        <v>36.86000000000013</v>
      </c>
      <c r="FS61" s="19">
        <f t="shared" si="56"/>
        <v>0.27580476539216875</v>
      </c>
      <c r="FT61" s="15">
        <f t="shared" si="57"/>
        <v>37.135804765392294</v>
      </c>
      <c r="FU61" s="11">
        <f t="shared" si="58"/>
        <v>107.69383381963765</v>
      </c>
      <c r="FV61" s="128">
        <f t="shared" si="17"/>
        <v>-8.178040498083867</v>
      </c>
      <c r="FW61" s="13">
        <f t="shared" si="59"/>
        <v>99.51579332155379</v>
      </c>
      <c r="FX61" s="21">
        <f t="shared" si="60"/>
        <v>-273.1876594051355</v>
      </c>
      <c r="FY61" s="22">
        <v>1</v>
      </c>
      <c r="FZ61" s="7" t="s">
        <v>39</v>
      </c>
      <c r="GA61" s="134">
        <v>8</v>
      </c>
      <c r="GB61" s="135" t="s">
        <v>56</v>
      </c>
      <c r="GC61" s="135" t="s">
        <v>14</v>
      </c>
      <c r="GD61" s="136">
        <v>43771</v>
      </c>
      <c r="GE61" s="138"/>
      <c r="GF61" s="139">
        <v>3263.4900000000002</v>
      </c>
      <c r="GG61" s="3"/>
      <c r="GH61" s="3"/>
      <c r="GI61" s="3"/>
      <c r="GJ61" s="3"/>
      <c r="GK61" s="32">
        <f t="shared" si="18"/>
        <v>3263.4900000000002</v>
      </c>
      <c r="GL61" s="18">
        <f t="shared" si="61"/>
        <v>57.820000000000164</v>
      </c>
      <c r="GM61" s="19">
        <f t="shared" si="62"/>
        <v>-6.689942004848952</v>
      </c>
      <c r="GN61" s="15">
        <f t="shared" si="63"/>
        <v>51.13005799515121</v>
      </c>
      <c r="GO61" s="11">
        <f t="shared" si="64"/>
        <v>148.2771681859385</v>
      </c>
      <c r="GP61" s="7">
        <f t="shared" si="19"/>
        <v>-21.894621262923675</v>
      </c>
      <c r="GQ61" s="13">
        <f t="shared" si="65"/>
        <v>126.38254692301483</v>
      </c>
      <c r="GR61" s="46">
        <f t="shared" si="66"/>
        <v>-146.80511248212065</v>
      </c>
      <c r="GS61" s="22">
        <v>1</v>
      </c>
      <c r="GT61" s="7" t="s">
        <v>39</v>
      </c>
      <c r="GU61" s="148">
        <v>8</v>
      </c>
      <c r="GV61" s="148" t="s">
        <v>56</v>
      </c>
      <c r="GW61" s="148" t="s">
        <v>14</v>
      </c>
      <c r="GX61" s="155">
        <v>43796</v>
      </c>
      <c r="GY61" s="156"/>
      <c r="GZ61" s="148">
        <v>3265.54</v>
      </c>
      <c r="HA61" s="157"/>
      <c r="HB61" s="157"/>
      <c r="HC61" s="157"/>
      <c r="HD61" s="157"/>
      <c r="HE61" s="158">
        <f t="shared" si="20"/>
        <v>3265.54</v>
      </c>
      <c r="HF61" s="18">
        <f t="shared" si="67"/>
        <v>2.049999999999727</v>
      </c>
      <c r="HG61" s="19">
        <f t="shared" si="68"/>
        <v>0.50245621502119</v>
      </c>
      <c r="HH61" s="15">
        <f t="shared" si="69"/>
        <v>2.552456215020917</v>
      </c>
      <c r="HI61" s="11">
        <f t="shared" si="70"/>
        <v>7.402123023560659</v>
      </c>
      <c r="HJ61" s="7">
        <f t="shared" si="71"/>
        <v>-0.9368556127990038</v>
      </c>
      <c r="HK61" s="13">
        <f t="shared" si="72"/>
        <v>6.465267410761655</v>
      </c>
      <c r="HL61" s="46">
        <f t="shared" si="73"/>
        <v>-140.33984507135898</v>
      </c>
      <c r="HM61" s="22">
        <v>1</v>
      </c>
      <c r="HN61" s="7" t="s">
        <v>39</v>
      </c>
      <c r="HO61" s="12">
        <v>8</v>
      </c>
      <c r="HP61" s="7" t="s">
        <v>56</v>
      </c>
      <c r="HQ61" s="7" t="s">
        <v>14</v>
      </c>
      <c r="HR61" s="8">
        <v>43830</v>
      </c>
      <c r="HS61" s="171"/>
      <c r="HT61" s="7">
        <v>3284.8</v>
      </c>
      <c r="HU61" s="7"/>
      <c r="HV61" s="7"/>
      <c r="HW61" s="7"/>
      <c r="HX61" s="7"/>
      <c r="HY61" s="17">
        <v>3284.8</v>
      </c>
      <c r="HZ61" s="18">
        <f t="shared" si="74"/>
        <v>19.26000000000022</v>
      </c>
      <c r="IA61" s="19">
        <f t="shared" si="75"/>
        <v>2.311200000000028</v>
      </c>
      <c r="IB61" s="20">
        <f t="shared" si="76"/>
        <v>21.571200000000246</v>
      </c>
      <c r="IC61" s="11">
        <f t="shared" si="77"/>
        <v>62.55648000000071</v>
      </c>
      <c r="ID61" s="7">
        <f t="shared" si="78"/>
        <v>-6.363373707402477</v>
      </c>
      <c r="IE61" s="13">
        <f t="shared" si="79"/>
        <v>56.19310629259823</v>
      </c>
      <c r="IF61" s="46">
        <f t="shared" si="80"/>
        <v>-84.14673877876075</v>
      </c>
      <c r="IG61" s="22">
        <v>1</v>
      </c>
      <c r="IH61" s="7" t="s">
        <v>39</v>
      </c>
    </row>
    <row r="62" spans="1:242" ht="19.5" customHeight="1">
      <c r="A62" s="10">
        <v>9</v>
      </c>
      <c r="B62" s="6" t="s">
        <v>57</v>
      </c>
      <c r="C62" s="6" t="s">
        <v>6</v>
      </c>
      <c r="D62" s="5">
        <v>43100</v>
      </c>
      <c r="F62" s="6">
        <v>2035.96</v>
      </c>
      <c r="H62" s="6">
        <v>2035.96</v>
      </c>
      <c r="J62" s="6">
        <v>0.11999999999989086</v>
      </c>
      <c r="K62" s="6">
        <v>-0.017223848847337755</v>
      </c>
      <c r="L62" s="6">
        <v>0.1027761511525531</v>
      </c>
      <c r="M62" s="6">
        <v>0.2723568005542657</v>
      </c>
      <c r="N62" s="6">
        <v>-22.546879843465206</v>
      </c>
      <c r="O62" s="10">
        <v>1</v>
      </c>
      <c r="P62" s="6" t="s">
        <v>39</v>
      </c>
      <c r="Q62" s="1">
        <v>9</v>
      </c>
      <c r="R62" s="56" t="s">
        <v>57</v>
      </c>
      <c r="S62" s="54">
        <v>2529.4</v>
      </c>
      <c r="T62" s="55">
        <v>-51.13147429412626</v>
      </c>
      <c r="U62" s="2" t="s">
        <v>6</v>
      </c>
      <c r="V62" s="30">
        <v>43496</v>
      </c>
      <c r="W62" s="37"/>
      <c r="X62" s="31">
        <v>2529.41</v>
      </c>
      <c r="Y62" s="31"/>
      <c r="Z62" s="31"/>
      <c r="AA62" s="31"/>
      <c r="AB62" s="31"/>
      <c r="AC62" s="57">
        <f t="shared" si="6"/>
        <v>2529.41</v>
      </c>
      <c r="AD62" s="34">
        <f t="shared" si="7"/>
        <v>0.009999999999763531</v>
      </c>
      <c r="AE62" s="38">
        <f t="shared" si="8"/>
        <v>0.0013469272654929438</v>
      </c>
      <c r="AF62" s="39">
        <f t="shared" si="9"/>
        <v>0.011346927265256474</v>
      </c>
      <c r="AG62" s="4">
        <f t="shared" si="21"/>
        <v>0.031430988524760436</v>
      </c>
      <c r="AH62" s="40">
        <f t="shared" si="10"/>
        <v>-51.100043305601496</v>
      </c>
      <c r="AI62" s="41">
        <v>1</v>
      </c>
      <c r="AJ62" s="36" t="s">
        <v>39</v>
      </c>
      <c r="AK62" s="1">
        <v>9</v>
      </c>
      <c r="AL62" s="2" t="s">
        <v>57</v>
      </c>
      <c r="AM62" s="2" t="s">
        <v>6</v>
      </c>
      <c r="AN62" s="72">
        <v>43521</v>
      </c>
      <c r="AO62" s="73"/>
      <c r="AP62" s="74">
        <v>2529.41</v>
      </c>
      <c r="AQ62" s="74"/>
      <c r="AR62" s="74"/>
      <c r="AS62" s="74"/>
      <c r="AT62" s="74"/>
      <c r="AU62" s="79">
        <f t="shared" si="11"/>
        <v>2529.41</v>
      </c>
      <c r="AV62" s="81">
        <f t="shared" si="12"/>
        <v>0</v>
      </c>
      <c r="AW62" s="80">
        <f t="shared" si="13"/>
        <v>0</v>
      </c>
      <c r="AX62" s="85">
        <f t="shared" si="22"/>
        <v>0</v>
      </c>
      <c r="AY62" s="91">
        <f t="shared" si="23"/>
        <v>0</v>
      </c>
      <c r="AZ62" s="88">
        <f t="shared" si="24"/>
        <v>-51.100043305601496</v>
      </c>
      <c r="BA62" s="22">
        <v>1</v>
      </c>
      <c r="BB62" s="7" t="s">
        <v>39</v>
      </c>
      <c r="BC62" s="12">
        <v>9</v>
      </c>
      <c r="BD62" s="7" t="s">
        <v>57</v>
      </c>
      <c r="BE62" s="7" t="s">
        <v>6</v>
      </c>
      <c r="BF62" s="8">
        <v>43555</v>
      </c>
      <c r="BG62" s="16"/>
      <c r="BH62" s="7">
        <v>2529.48</v>
      </c>
      <c r="BI62" s="7"/>
      <c r="BJ62" s="7"/>
      <c r="BK62" s="7"/>
      <c r="BL62" s="7"/>
      <c r="BM62" s="17">
        <f t="shared" si="14"/>
        <v>2529.48</v>
      </c>
      <c r="BN62" s="18">
        <f t="shared" si="25"/>
        <v>0.07000000000016371</v>
      </c>
      <c r="BO62" s="19">
        <f t="shared" si="26"/>
        <v>-0.020748128521511026</v>
      </c>
      <c r="BP62" s="15">
        <f t="shared" si="27"/>
        <v>0.04925187147865268</v>
      </c>
      <c r="BQ62" s="11">
        <f t="shared" si="28"/>
        <v>0.13889027756980055</v>
      </c>
      <c r="BR62" s="46">
        <f t="shared" si="29"/>
        <v>-50.961153028031696</v>
      </c>
      <c r="BS62" s="22">
        <v>1</v>
      </c>
      <c r="BT62" s="7" t="s">
        <v>39</v>
      </c>
      <c r="BU62" s="12">
        <v>9</v>
      </c>
      <c r="BV62" s="7" t="s">
        <v>57</v>
      </c>
      <c r="BW62" s="7" t="s">
        <v>6</v>
      </c>
      <c r="BX62" s="8">
        <v>43585</v>
      </c>
      <c r="BY62" s="16"/>
      <c r="BZ62" s="7">
        <v>2529.48</v>
      </c>
      <c r="CA62" s="7"/>
      <c r="CB62" s="7"/>
      <c r="CC62" s="7"/>
      <c r="CD62" s="7"/>
      <c r="CE62" s="17">
        <v>2529.48</v>
      </c>
      <c r="CF62" s="18">
        <f t="shared" si="30"/>
        <v>0</v>
      </c>
      <c r="CG62" s="19">
        <f t="shared" si="31"/>
        <v>0</v>
      </c>
      <c r="CH62" s="20">
        <f t="shared" si="32"/>
        <v>0</v>
      </c>
      <c r="CI62" s="11">
        <f t="shared" si="33"/>
        <v>0</v>
      </c>
      <c r="CJ62" s="46">
        <f t="shared" si="34"/>
        <v>-50.961153028031696</v>
      </c>
      <c r="CK62" s="22">
        <v>1</v>
      </c>
      <c r="CL62" s="7" t="s">
        <v>39</v>
      </c>
      <c r="CM62" s="12">
        <v>9</v>
      </c>
      <c r="CN62" s="7" t="s">
        <v>57</v>
      </c>
      <c r="CO62" s="7" t="s">
        <v>6</v>
      </c>
      <c r="CP62" s="8">
        <v>43615</v>
      </c>
      <c r="CQ62" s="16"/>
      <c r="CR62" s="7">
        <v>2565.13</v>
      </c>
      <c r="CS62" s="7"/>
      <c r="CT62" s="7"/>
      <c r="CU62" s="7"/>
      <c r="CV62" s="7"/>
      <c r="CW62" s="17">
        <v>2565.13</v>
      </c>
      <c r="CX62" s="18">
        <f t="shared" si="35"/>
        <v>35.65000000000009</v>
      </c>
      <c r="CY62" s="19">
        <f t="shared" si="36"/>
        <v>15.355659527630253</v>
      </c>
      <c r="CZ62" s="15">
        <f t="shared" si="37"/>
        <v>51.00565952763034</v>
      </c>
      <c r="DA62" s="11">
        <f t="shared" si="38"/>
        <v>143.83595986791755</v>
      </c>
      <c r="DB62" s="46">
        <f t="shared" si="39"/>
        <v>92.87480683988585</v>
      </c>
      <c r="DC62" s="22">
        <v>1</v>
      </c>
      <c r="DD62" s="7" t="s">
        <v>39</v>
      </c>
      <c r="DE62" s="1">
        <v>9</v>
      </c>
      <c r="DF62" s="2" t="s">
        <v>57</v>
      </c>
      <c r="DG62" s="2" t="s">
        <v>6</v>
      </c>
      <c r="DH62" s="30">
        <v>43646</v>
      </c>
      <c r="DI62" s="37">
        <v>500</v>
      </c>
      <c r="DJ62" s="31">
        <v>2614.35</v>
      </c>
      <c r="DK62" s="58"/>
      <c r="DL62" s="58"/>
      <c r="DM62" s="58"/>
      <c r="DN62" s="35"/>
      <c r="DO62" s="57">
        <f t="shared" si="15"/>
        <v>2614.35</v>
      </c>
      <c r="DP62" s="18">
        <f t="shared" si="40"/>
        <v>49.2199999999998</v>
      </c>
      <c r="DQ62" s="19">
        <f t="shared" si="41"/>
        <v>-0.9091142480793246</v>
      </c>
      <c r="DR62" s="15">
        <f t="shared" si="42"/>
        <v>48.31088575192047</v>
      </c>
      <c r="DS62" s="11">
        <f t="shared" si="43"/>
        <v>136.2366978204157</v>
      </c>
      <c r="DT62" s="46">
        <f t="shared" si="44"/>
        <v>-270.8884953396984</v>
      </c>
      <c r="DU62" s="22">
        <v>1</v>
      </c>
      <c r="DV62" s="7" t="s">
        <v>39</v>
      </c>
      <c r="DW62" s="12">
        <v>9</v>
      </c>
      <c r="DX62" s="7" t="s">
        <v>57</v>
      </c>
      <c r="DY62" s="7" t="s">
        <v>6</v>
      </c>
      <c r="DZ62" s="8">
        <v>43677</v>
      </c>
      <c r="EA62" s="16"/>
      <c r="EB62" s="7">
        <v>2806.25</v>
      </c>
      <c r="EC62" s="7"/>
      <c r="ED62" s="7"/>
      <c r="EE62" s="7"/>
      <c r="EF62" s="7"/>
      <c r="EG62" s="17">
        <v>2806.25</v>
      </c>
      <c r="EH62" s="18">
        <f t="shared" si="45"/>
        <v>191.9000000000001</v>
      </c>
      <c r="EI62" s="19">
        <f t="shared" si="46"/>
        <v>33.14813894279576</v>
      </c>
      <c r="EJ62" s="15">
        <f t="shared" si="47"/>
        <v>225.04813894279584</v>
      </c>
      <c r="EK62" s="11">
        <f t="shared" si="48"/>
        <v>652.639602934108</v>
      </c>
      <c r="EL62" s="125">
        <f t="shared" si="49"/>
        <v>381.7511075944096</v>
      </c>
      <c r="EM62" s="22">
        <v>1</v>
      </c>
      <c r="EN62" s="7" t="s">
        <v>39</v>
      </c>
      <c r="EO62" s="12">
        <v>9</v>
      </c>
      <c r="EP62" s="7" t="s">
        <v>57</v>
      </c>
      <c r="EQ62" s="7" t="s">
        <v>6</v>
      </c>
      <c r="ER62" s="8">
        <v>43708</v>
      </c>
      <c r="ES62" s="16">
        <v>500</v>
      </c>
      <c r="ET62" s="7">
        <v>3037.53</v>
      </c>
      <c r="EU62" s="7"/>
      <c r="EV62" s="7"/>
      <c r="EW62" s="7"/>
      <c r="EX62" s="7"/>
      <c r="EY62" s="17">
        <f t="shared" si="16"/>
        <v>3037.53</v>
      </c>
      <c r="EZ62" s="18">
        <f t="shared" si="50"/>
        <v>231.2800000000002</v>
      </c>
      <c r="FA62" s="19">
        <f t="shared" si="51"/>
        <v>26.344074283576532</v>
      </c>
      <c r="FB62" s="15">
        <f t="shared" si="52"/>
        <v>257.62407428357676</v>
      </c>
      <c r="FC62" s="11">
        <f t="shared" si="53"/>
        <v>747.1098154223725</v>
      </c>
      <c r="FD62" s="21">
        <f t="shared" si="54"/>
        <v>628.8609230167822</v>
      </c>
      <c r="FE62" s="22">
        <v>1</v>
      </c>
      <c r="FF62" s="7" t="s">
        <v>39</v>
      </c>
      <c r="FG62" s="7">
        <v>9</v>
      </c>
      <c r="FH62" s="7" t="s">
        <v>57</v>
      </c>
      <c r="FI62" s="7" t="s">
        <v>6</v>
      </c>
      <c r="FJ62" s="8">
        <v>43735</v>
      </c>
      <c r="FK62" s="16">
        <v>1000</v>
      </c>
      <c r="FL62" s="7">
        <v>3227.37</v>
      </c>
      <c r="FM62" s="7"/>
      <c r="FN62" s="7"/>
      <c r="FO62" s="7"/>
      <c r="FP62" s="7"/>
      <c r="FQ62" s="17">
        <v>3227.37</v>
      </c>
      <c r="FR62" s="18">
        <f t="shared" si="55"/>
        <v>189.8399999999997</v>
      </c>
      <c r="FS62" s="19">
        <f t="shared" si="56"/>
        <v>1.42047684921457</v>
      </c>
      <c r="FT62" s="15">
        <f t="shared" si="57"/>
        <v>191.26047684921426</v>
      </c>
      <c r="FU62" s="11">
        <f t="shared" si="58"/>
        <v>554.6553828627214</v>
      </c>
      <c r="FV62" s="128">
        <f t="shared" si="17"/>
        <v>-42.11934910895913</v>
      </c>
      <c r="FW62" s="13">
        <f t="shared" si="59"/>
        <v>512.5360337537622</v>
      </c>
      <c r="FX62" s="21">
        <f t="shared" si="60"/>
        <v>141.39695677054442</v>
      </c>
      <c r="FY62" s="22">
        <v>1</v>
      </c>
      <c r="FZ62" s="7" t="s">
        <v>39</v>
      </c>
      <c r="GA62" s="134">
        <v>9</v>
      </c>
      <c r="GB62" s="135" t="s">
        <v>57</v>
      </c>
      <c r="GC62" s="135" t="s">
        <v>6</v>
      </c>
      <c r="GD62" s="136">
        <v>43771</v>
      </c>
      <c r="GE62" s="138"/>
      <c r="GF62" s="139">
        <v>3351.7200000000003</v>
      </c>
      <c r="GG62" s="3"/>
      <c r="GH62" s="3"/>
      <c r="GI62" s="3"/>
      <c r="GJ62" s="3"/>
      <c r="GK62" s="32">
        <f t="shared" si="18"/>
        <v>3351.7200000000003</v>
      </c>
      <c r="GL62" s="18">
        <f t="shared" si="61"/>
        <v>124.35000000000036</v>
      </c>
      <c r="GM62" s="19">
        <f t="shared" si="62"/>
        <v>-14.387656317934404</v>
      </c>
      <c r="GN62" s="15">
        <f t="shared" si="63"/>
        <v>109.96234368206596</v>
      </c>
      <c r="GO62" s="11">
        <f t="shared" si="64"/>
        <v>318.89079667799126</v>
      </c>
      <c r="GP62" s="7">
        <f t="shared" si="19"/>
        <v>-47.08744645528466</v>
      </c>
      <c r="GQ62" s="13">
        <f t="shared" si="65"/>
        <v>271.8033502227066</v>
      </c>
      <c r="GR62" s="46">
        <f t="shared" si="66"/>
        <v>413.20030699325105</v>
      </c>
      <c r="GS62" s="22">
        <v>1</v>
      </c>
      <c r="GT62" s="7" t="s">
        <v>39</v>
      </c>
      <c r="GU62" s="148">
        <v>9</v>
      </c>
      <c r="GV62" s="148" t="s">
        <v>57</v>
      </c>
      <c r="GW62" s="148" t="s">
        <v>6</v>
      </c>
      <c r="GX62" s="155">
        <v>43799</v>
      </c>
      <c r="GY62" s="156"/>
      <c r="GZ62" s="148">
        <v>3353.31</v>
      </c>
      <c r="HA62" s="157"/>
      <c r="HB62" s="157"/>
      <c r="HC62" s="157"/>
      <c r="HD62" s="157"/>
      <c r="HE62" s="158">
        <f t="shared" si="20"/>
        <v>3353.31</v>
      </c>
      <c r="HF62" s="18">
        <f t="shared" si="67"/>
        <v>1.5899999999996908</v>
      </c>
      <c r="HG62" s="19">
        <f t="shared" si="68"/>
        <v>0.38970994238226486</v>
      </c>
      <c r="HH62" s="15">
        <f t="shared" si="69"/>
        <v>1.9797099423819557</v>
      </c>
      <c r="HI62" s="11">
        <f t="shared" si="70"/>
        <v>5.741158832907671</v>
      </c>
      <c r="HJ62" s="7">
        <f t="shared" si="71"/>
        <v>-0.7266343533416219</v>
      </c>
      <c r="HK62" s="13">
        <f t="shared" si="72"/>
        <v>5.01452447956605</v>
      </c>
      <c r="HL62" s="46">
        <f t="shared" si="73"/>
        <v>418.2148314728171</v>
      </c>
      <c r="HM62" s="22">
        <v>1</v>
      </c>
      <c r="HN62" s="7" t="s">
        <v>39</v>
      </c>
      <c r="HO62" s="12">
        <v>9</v>
      </c>
      <c r="HP62" s="7" t="s">
        <v>57</v>
      </c>
      <c r="HQ62" s="7" t="s">
        <v>6</v>
      </c>
      <c r="HR62" s="8">
        <v>43830</v>
      </c>
      <c r="HS62" s="171">
        <v>500</v>
      </c>
      <c r="HT62" s="7">
        <v>3366.71</v>
      </c>
      <c r="HU62" s="7"/>
      <c r="HV62" s="7"/>
      <c r="HW62" s="7"/>
      <c r="HX62" s="7"/>
      <c r="HY62" s="17">
        <v>3366.71</v>
      </c>
      <c r="HZ62" s="18">
        <f t="shared" si="74"/>
        <v>13.400000000000091</v>
      </c>
      <c r="IA62" s="19">
        <f t="shared" si="75"/>
        <v>1.6080000000000119</v>
      </c>
      <c r="IB62" s="20">
        <f t="shared" si="76"/>
        <v>15.008000000000102</v>
      </c>
      <c r="IC62" s="11">
        <f t="shared" si="77"/>
        <v>43.523200000000294</v>
      </c>
      <c r="ID62" s="7">
        <f t="shared" si="78"/>
        <v>-4.427269349906169</v>
      </c>
      <c r="IE62" s="13">
        <f t="shared" si="79"/>
        <v>39.095930650094125</v>
      </c>
      <c r="IF62" s="46">
        <f t="shared" si="80"/>
        <v>-42.68923787708879</v>
      </c>
      <c r="IG62" s="22">
        <v>1</v>
      </c>
      <c r="IH62" s="7" t="s">
        <v>39</v>
      </c>
    </row>
    <row r="63" spans="1:242" ht="19.5" customHeight="1">
      <c r="A63" s="10">
        <v>10</v>
      </c>
      <c r="B63" s="6" t="s">
        <v>85</v>
      </c>
      <c r="C63" s="6" t="s">
        <v>86</v>
      </c>
      <c r="D63" s="5">
        <v>43100</v>
      </c>
      <c r="F63" s="6">
        <v>121.15</v>
      </c>
      <c r="G63" s="6">
        <v>301.4</v>
      </c>
      <c r="H63" s="6">
        <v>422.54999999999995</v>
      </c>
      <c r="J63" s="6">
        <v>0</v>
      </c>
      <c r="K63" s="6">
        <v>0</v>
      </c>
      <c r="L63" s="6">
        <v>0</v>
      </c>
      <c r="M63" s="6">
        <v>0</v>
      </c>
      <c r="N63" s="6">
        <v>8.47405931373794</v>
      </c>
      <c r="O63" s="10">
        <v>2</v>
      </c>
      <c r="P63" s="6" t="s">
        <v>39</v>
      </c>
      <c r="Q63" s="1">
        <v>10</v>
      </c>
      <c r="R63" s="56" t="s">
        <v>85</v>
      </c>
      <c r="S63" s="54">
        <v>433.2</v>
      </c>
      <c r="T63" s="55">
        <v>-47.92443547218451</v>
      </c>
      <c r="U63" s="2" t="s">
        <v>86</v>
      </c>
      <c r="V63" s="30">
        <v>43496</v>
      </c>
      <c r="W63" s="37"/>
      <c r="X63" s="31">
        <v>433.2</v>
      </c>
      <c r="Y63" s="31"/>
      <c r="Z63" s="31"/>
      <c r="AA63" s="31"/>
      <c r="AB63" s="31">
        <v>301.4</v>
      </c>
      <c r="AC63" s="57">
        <f t="shared" si="6"/>
        <v>433.2</v>
      </c>
      <c r="AD63" s="34">
        <f t="shared" si="7"/>
        <v>0</v>
      </c>
      <c r="AE63" s="38">
        <f t="shared" si="8"/>
        <v>0</v>
      </c>
      <c r="AF63" s="39">
        <f t="shared" si="9"/>
        <v>0</v>
      </c>
      <c r="AG63" s="4">
        <f t="shared" si="21"/>
        <v>0</v>
      </c>
      <c r="AH63" s="40">
        <f t="shared" si="10"/>
        <v>-47.92443547218451</v>
      </c>
      <c r="AI63" s="41">
        <v>2</v>
      </c>
      <c r="AJ63" s="36" t="s">
        <v>39</v>
      </c>
      <c r="AK63" s="1">
        <v>10</v>
      </c>
      <c r="AL63" s="2" t="s">
        <v>85</v>
      </c>
      <c r="AM63" s="2" t="s">
        <v>86</v>
      </c>
      <c r="AN63" s="72">
        <v>43521</v>
      </c>
      <c r="AO63" s="73"/>
      <c r="AP63" s="74">
        <v>433.2</v>
      </c>
      <c r="AQ63" s="74"/>
      <c r="AR63" s="74"/>
      <c r="AS63" s="74"/>
      <c r="AT63" s="74">
        <v>301.4</v>
      </c>
      <c r="AU63" s="79">
        <f t="shared" si="11"/>
        <v>433.2</v>
      </c>
      <c r="AV63" s="81">
        <f t="shared" si="12"/>
        <v>0</v>
      </c>
      <c r="AW63" s="80">
        <f t="shared" si="13"/>
        <v>0</v>
      </c>
      <c r="AX63" s="85">
        <f t="shared" si="22"/>
        <v>0</v>
      </c>
      <c r="AY63" s="91">
        <f t="shared" si="23"/>
        <v>0</v>
      </c>
      <c r="AZ63" s="88">
        <f t="shared" si="24"/>
        <v>-47.92443547218451</v>
      </c>
      <c r="BA63" s="22">
        <v>2</v>
      </c>
      <c r="BB63" s="7" t="s">
        <v>39</v>
      </c>
      <c r="BC63" s="12">
        <v>10</v>
      </c>
      <c r="BD63" s="7" t="s">
        <v>85</v>
      </c>
      <c r="BE63" s="7" t="s">
        <v>86</v>
      </c>
      <c r="BF63" s="8">
        <v>43555</v>
      </c>
      <c r="BG63" s="16"/>
      <c r="BH63" s="7">
        <v>435.39</v>
      </c>
      <c r="BI63" s="7"/>
      <c r="BJ63" s="7"/>
      <c r="BK63" s="7"/>
      <c r="BL63" s="7">
        <v>301.4</v>
      </c>
      <c r="BM63" s="17">
        <f t="shared" si="14"/>
        <v>435.39</v>
      </c>
      <c r="BN63" s="18">
        <f t="shared" si="25"/>
        <v>2.1899999999999977</v>
      </c>
      <c r="BO63" s="19">
        <f t="shared" si="26"/>
        <v>-0.6491200208857547</v>
      </c>
      <c r="BP63" s="15">
        <f t="shared" si="27"/>
        <v>1.540879979114243</v>
      </c>
      <c r="BQ63" s="11">
        <f t="shared" si="28"/>
        <v>4.345281541102165</v>
      </c>
      <c r="BR63" s="46">
        <f t="shared" si="29"/>
        <v>-43.579153931082345</v>
      </c>
      <c r="BS63" s="22">
        <v>2</v>
      </c>
      <c r="BT63" s="7" t="s">
        <v>39</v>
      </c>
      <c r="BU63" s="12">
        <v>10</v>
      </c>
      <c r="BV63" s="7" t="s">
        <v>85</v>
      </c>
      <c r="BW63" s="7" t="s">
        <v>86</v>
      </c>
      <c r="BX63" s="8">
        <v>43585</v>
      </c>
      <c r="BY63" s="16"/>
      <c r="BZ63" s="7">
        <v>435.39</v>
      </c>
      <c r="CA63" s="7"/>
      <c r="CB63" s="7"/>
      <c r="CC63" s="7"/>
      <c r="CD63" s="7">
        <v>301.4</v>
      </c>
      <c r="CE63" s="17">
        <v>435.39</v>
      </c>
      <c r="CF63" s="18">
        <f t="shared" si="30"/>
        <v>0</v>
      </c>
      <c r="CG63" s="19">
        <f t="shared" si="31"/>
        <v>0</v>
      </c>
      <c r="CH63" s="20">
        <f t="shared" si="32"/>
        <v>0</v>
      </c>
      <c r="CI63" s="11">
        <f t="shared" si="33"/>
        <v>0</v>
      </c>
      <c r="CJ63" s="46">
        <f t="shared" si="34"/>
        <v>-43.579153931082345</v>
      </c>
      <c r="CK63" s="22">
        <v>2</v>
      </c>
      <c r="CL63" s="7" t="s">
        <v>39</v>
      </c>
      <c r="CM63" s="12">
        <v>10</v>
      </c>
      <c r="CN63" s="7" t="s">
        <v>85</v>
      </c>
      <c r="CO63" s="7" t="s">
        <v>86</v>
      </c>
      <c r="CP63" s="8">
        <v>43615</v>
      </c>
      <c r="CQ63" s="16"/>
      <c r="CR63" s="7">
        <v>437.38</v>
      </c>
      <c r="CS63" s="7"/>
      <c r="CT63" s="7"/>
      <c r="CU63" s="7"/>
      <c r="CV63" s="7">
        <v>301.4</v>
      </c>
      <c r="CW63" s="17">
        <v>437.38</v>
      </c>
      <c r="CX63" s="18">
        <f t="shared" si="35"/>
        <v>1.990000000000009</v>
      </c>
      <c r="CY63" s="19">
        <f t="shared" si="36"/>
        <v>0.8571602373067115</v>
      </c>
      <c r="CZ63" s="15">
        <f t="shared" si="37"/>
        <v>2.8471602373067206</v>
      </c>
      <c r="DA63" s="11">
        <f t="shared" si="38"/>
        <v>8.028991869204951</v>
      </c>
      <c r="DB63" s="46">
        <f t="shared" si="39"/>
        <v>-35.550162061877394</v>
      </c>
      <c r="DC63" s="22">
        <v>2</v>
      </c>
      <c r="DD63" s="7" t="s">
        <v>39</v>
      </c>
      <c r="DE63" s="1">
        <v>10</v>
      </c>
      <c r="DF63" s="2" t="s">
        <v>85</v>
      </c>
      <c r="DG63" s="2" t="s">
        <v>86</v>
      </c>
      <c r="DH63" s="30">
        <v>43646</v>
      </c>
      <c r="DI63" s="37"/>
      <c r="DJ63" s="31">
        <v>508.04</v>
      </c>
      <c r="DK63" s="58"/>
      <c r="DL63" s="58"/>
      <c r="DM63" s="58"/>
      <c r="DN63" s="35">
        <v>301.4</v>
      </c>
      <c r="DO63" s="57">
        <f t="shared" si="15"/>
        <v>508.04</v>
      </c>
      <c r="DP63" s="18">
        <f t="shared" si="40"/>
        <v>70.66000000000003</v>
      </c>
      <c r="DQ63" s="19">
        <f t="shared" si="41"/>
        <v>-1.3051201294044161</v>
      </c>
      <c r="DR63" s="15">
        <f t="shared" si="42"/>
        <v>69.35487987059561</v>
      </c>
      <c r="DS63" s="11">
        <f t="shared" si="43"/>
        <v>195.58076123507962</v>
      </c>
      <c r="DT63" s="46">
        <f t="shared" si="44"/>
        <v>160.03059917320223</v>
      </c>
      <c r="DU63" s="22">
        <v>2</v>
      </c>
      <c r="DV63" s="7" t="s">
        <v>39</v>
      </c>
      <c r="DW63" s="12">
        <v>10</v>
      </c>
      <c r="DX63" s="7" t="s">
        <v>85</v>
      </c>
      <c r="DY63" s="7" t="s">
        <v>86</v>
      </c>
      <c r="DZ63" s="8">
        <v>43677</v>
      </c>
      <c r="EA63" s="16">
        <v>500</v>
      </c>
      <c r="EB63" s="7">
        <v>823.8000000000001</v>
      </c>
      <c r="EC63" s="7"/>
      <c r="ED63" s="7"/>
      <c r="EE63" s="7"/>
      <c r="EF63" s="7">
        <v>301.4</v>
      </c>
      <c r="EG63" s="17">
        <v>823.8000000000001</v>
      </c>
      <c r="EH63" s="18">
        <f t="shared" si="45"/>
        <v>315.76000000000005</v>
      </c>
      <c r="EI63" s="19">
        <f t="shared" si="46"/>
        <v>54.54328479717138</v>
      </c>
      <c r="EJ63" s="15">
        <f t="shared" si="47"/>
        <v>370.30328479717144</v>
      </c>
      <c r="EK63" s="11">
        <f t="shared" si="48"/>
        <v>1073.8795259117971</v>
      </c>
      <c r="EL63" s="125">
        <f t="shared" si="49"/>
        <v>733.9101250849994</v>
      </c>
      <c r="EM63" s="22">
        <v>2</v>
      </c>
      <c r="EN63" s="7" t="s">
        <v>39</v>
      </c>
      <c r="EO63" s="12">
        <v>10</v>
      </c>
      <c r="EP63" s="7" t="s">
        <v>85</v>
      </c>
      <c r="EQ63" s="7" t="s">
        <v>86</v>
      </c>
      <c r="ER63" s="8">
        <v>43708</v>
      </c>
      <c r="ES63" s="16">
        <v>1000</v>
      </c>
      <c r="ET63" s="7">
        <v>1242.71</v>
      </c>
      <c r="EU63" s="7"/>
      <c r="EV63" s="7"/>
      <c r="EW63" s="7"/>
      <c r="EX63" s="7">
        <v>301.4</v>
      </c>
      <c r="EY63" s="17">
        <f t="shared" si="16"/>
        <v>1242.71</v>
      </c>
      <c r="EZ63" s="18">
        <f t="shared" si="50"/>
        <v>418.90999999999997</v>
      </c>
      <c r="FA63" s="19">
        <f t="shared" si="51"/>
        <v>47.716171558859536</v>
      </c>
      <c r="FB63" s="15">
        <f t="shared" si="52"/>
        <v>466.6261715588595</v>
      </c>
      <c r="FC63" s="11">
        <f t="shared" si="53"/>
        <v>1353.2158975206924</v>
      </c>
      <c r="FD63" s="21">
        <f t="shared" si="54"/>
        <v>1087.1260226056918</v>
      </c>
      <c r="FE63" s="22">
        <v>2</v>
      </c>
      <c r="FF63" s="7" t="s">
        <v>39</v>
      </c>
      <c r="FG63" s="7">
        <v>10</v>
      </c>
      <c r="FH63" s="7" t="s">
        <v>85</v>
      </c>
      <c r="FI63" s="7" t="s">
        <v>86</v>
      </c>
      <c r="FJ63" s="8">
        <v>43735</v>
      </c>
      <c r="FK63" s="16">
        <v>1200</v>
      </c>
      <c r="FL63" s="7">
        <v>1427.1200000000001</v>
      </c>
      <c r="FM63" s="7"/>
      <c r="FN63" s="7"/>
      <c r="FO63" s="7"/>
      <c r="FP63" s="7">
        <v>301.4</v>
      </c>
      <c r="FQ63" s="17">
        <v>1427.1200000000001</v>
      </c>
      <c r="FR63" s="18">
        <f t="shared" si="55"/>
        <v>184.41000000000008</v>
      </c>
      <c r="FS63" s="19">
        <f t="shared" si="56"/>
        <v>1.379846901409921</v>
      </c>
      <c r="FT63" s="15">
        <f t="shared" si="57"/>
        <v>185.78984690141002</v>
      </c>
      <c r="FU63" s="11">
        <f t="shared" si="58"/>
        <v>538.790556014089</v>
      </c>
      <c r="FV63" s="128">
        <f t="shared" si="17"/>
        <v>-40.91460792869348</v>
      </c>
      <c r="FW63" s="13">
        <f t="shared" si="59"/>
        <v>497.8759480853955</v>
      </c>
      <c r="FX63" s="21">
        <f t="shared" si="60"/>
        <v>385.0019706910873</v>
      </c>
      <c r="FY63" s="22">
        <v>2</v>
      </c>
      <c r="FZ63" s="7" t="s">
        <v>39</v>
      </c>
      <c r="GA63" s="134">
        <v>10</v>
      </c>
      <c r="GB63" s="135" t="s">
        <v>85</v>
      </c>
      <c r="GC63" s="135" t="s">
        <v>86</v>
      </c>
      <c r="GD63" s="136">
        <v>43771</v>
      </c>
      <c r="GE63" s="138"/>
      <c r="GF63" s="139">
        <v>1427.14</v>
      </c>
      <c r="GG63" s="3"/>
      <c r="GH63" s="3"/>
      <c r="GI63" s="3"/>
      <c r="GJ63" s="3">
        <v>301.4</v>
      </c>
      <c r="GK63" s="32">
        <f t="shared" si="18"/>
        <v>1427.14</v>
      </c>
      <c r="GL63" s="18">
        <f t="shared" si="61"/>
        <v>0.01999999999998181</v>
      </c>
      <c r="GM63" s="19">
        <f t="shared" si="62"/>
        <v>-0.002314058113055292</v>
      </c>
      <c r="GN63" s="15">
        <f t="shared" si="63"/>
        <v>0.01768594188692652</v>
      </c>
      <c r="GO63" s="11">
        <f t="shared" si="64"/>
        <v>0.0512892314720869</v>
      </c>
      <c r="GP63" s="7">
        <f t="shared" si="19"/>
        <v>-0.007573372972294604</v>
      </c>
      <c r="GQ63" s="13">
        <f t="shared" si="65"/>
        <v>0.0437158584997923</v>
      </c>
      <c r="GR63" s="46">
        <f t="shared" si="66"/>
        <v>385.0456865495871</v>
      </c>
      <c r="GS63" s="22">
        <v>2</v>
      </c>
      <c r="GT63" s="7" t="s">
        <v>39</v>
      </c>
      <c r="GU63" s="148">
        <v>10</v>
      </c>
      <c r="GV63" s="148" t="s">
        <v>85</v>
      </c>
      <c r="GW63" s="148" t="s">
        <v>86</v>
      </c>
      <c r="GX63" s="155">
        <v>43795</v>
      </c>
      <c r="GY63" s="156"/>
      <c r="GZ63" s="148">
        <v>1427.14</v>
      </c>
      <c r="HA63" s="157"/>
      <c r="HB63" s="157"/>
      <c r="HC63" s="157"/>
      <c r="HD63" s="157">
        <v>301.4</v>
      </c>
      <c r="HE63" s="158">
        <f t="shared" si="20"/>
        <v>1427.14</v>
      </c>
      <c r="HF63" s="18">
        <f t="shared" si="67"/>
        <v>0</v>
      </c>
      <c r="HG63" s="19">
        <f t="shared" si="68"/>
        <v>0</v>
      </c>
      <c r="HH63" s="15">
        <f t="shared" si="69"/>
        <v>0</v>
      </c>
      <c r="HI63" s="11">
        <f t="shared" si="70"/>
        <v>0</v>
      </c>
      <c r="HJ63" s="7">
        <f t="shared" si="71"/>
        <v>0</v>
      </c>
      <c r="HK63" s="13">
        <f t="shared" si="72"/>
        <v>0</v>
      </c>
      <c r="HL63" s="46">
        <f t="shared" si="73"/>
        <v>385.0456865495871</v>
      </c>
      <c r="HM63" s="22">
        <v>2</v>
      </c>
      <c r="HN63" s="7" t="s">
        <v>39</v>
      </c>
      <c r="HO63" s="12">
        <v>10</v>
      </c>
      <c r="HP63" s="7" t="s">
        <v>85</v>
      </c>
      <c r="HQ63" s="7" t="s">
        <v>86</v>
      </c>
      <c r="HR63" s="8">
        <v>43830</v>
      </c>
      <c r="HS63" s="171">
        <v>500</v>
      </c>
      <c r="HT63" s="7">
        <v>1427.14</v>
      </c>
      <c r="HU63" s="7"/>
      <c r="HV63" s="7"/>
      <c r="HW63" s="7"/>
      <c r="HX63" s="7">
        <v>301.4</v>
      </c>
      <c r="HY63" s="17">
        <v>1427.14</v>
      </c>
      <c r="HZ63" s="18">
        <f t="shared" si="74"/>
        <v>0</v>
      </c>
      <c r="IA63" s="19">
        <f t="shared" si="75"/>
        <v>0</v>
      </c>
      <c r="IB63" s="20">
        <f t="shared" si="76"/>
        <v>0</v>
      </c>
      <c r="IC63" s="11">
        <f t="shared" si="77"/>
        <v>0</v>
      </c>
      <c r="ID63" s="7">
        <f t="shared" si="78"/>
        <v>0</v>
      </c>
      <c r="IE63" s="13">
        <f t="shared" si="79"/>
        <v>0</v>
      </c>
      <c r="IF63" s="46">
        <f t="shared" si="80"/>
        <v>-114.95431345041288</v>
      </c>
      <c r="IG63" s="22">
        <v>2</v>
      </c>
      <c r="IH63" s="7" t="s">
        <v>39</v>
      </c>
    </row>
    <row r="64" spans="1:242" ht="19.5" customHeight="1">
      <c r="A64" s="10">
        <v>11</v>
      </c>
      <c r="B64" s="6" t="s">
        <v>58</v>
      </c>
      <c r="C64" s="6" t="s">
        <v>35</v>
      </c>
      <c r="D64" s="5">
        <v>43100</v>
      </c>
      <c r="E64" s="6">
        <v>3000</v>
      </c>
      <c r="F64" s="6">
        <v>10455.45</v>
      </c>
      <c r="H64" s="6">
        <v>10455.45</v>
      </c>
      <c r="J64" s="6">
        <v>633.3199999999997</v>
      </c>
      <c r="K64" s="6">
        <v>-90.90173293338219</v>
      </c>
      <c r="L64" s="6">
        <v>542.4182670666175</v>
      </c>
      <c r="M64" s="6">
        <v>1437.4084077265366</v>
      </c>
      <c r="N64" s="6">
        <v>1341.1062913230348</v>
      </c>
      <c r="O64" s="10">
        <v>1</v>
      </c>
      <c r="P64" s="6" t="s">
        <v>39</v>
      </c>
      <c r="Q64" s="1">
        <v>11</v>
      </c>
      <c r="R64" s="56" t="s">
        <v>58</v>
      </c>
      <c r="S64" s="54">
        <v>16719.46</v>
      </c>
      <c r="T64" s="55">
        <v>1607.6946694195885</v>
      </c>
      <c r="U64" s="2" t="s">
        <v>35</v>
      </c>
      <c r="V64" s="30">
        <v>43496</v>
      </c>
      <c r="W64" s="37">
        <v>1616.71</v>
      </c>
      <c r="X64" s="31">
        <v>17291.9</v>
      </c>
      <c r="Y64" s="31"/>
      <c r="Z64" s="31"/>
      <c r="AA64" s="31"/>
      <c r="AB64" s="31">
        <v>4241.21</v>
      </c>
      <c r="AC64" s="57">
        <f t="shared" si="6"/>
        <v>17291.9</v>
      </c>
      <c r="AD64" s="34">
        <f t="shared" si="7"/>
        <v>572.4400000000023</v>
      </c>
      <c r="AE64" s="38">
        <f t="shared" si="8"/>
        <v>77.10350438770165</v>
      </c>
      <c r="AF64" s="39">
        <f t="shared" si="9"/>
        <v>649.5435043877039</v>
      </c>
      <c r="AG64" s="4">
        <f t="shared" si="21"/>
        <v>1799.2355071539398</v>
      </c>
      <c r="AH64" s="40">
        <f t="shared" si="10"/>
        <v>1790.2201765735283</v>
      </c>
      <c r="AI64" s="41">
        <v>2</v>
      </c>
      <c r="AJ64" s="36" t="s">
        <v>39</v>
      </c>
      <c r="AK64" s="1">
        <v>11</v>
      </c>
      <c r="AL64" s="2" t="s">
        <v>58</v>
      </c>
      <c r="AM64" s="2" t="s">
        <v>35</v>
      </c>
      <c r="AN64" s="72">
        <v>43521</v>
      </c>
      <c r="AO64" s="73">
        <v>1790.24</v>
      </c>
      <c r="AP64" s="74">
        <v>17803.510000000002</v>
      </c>
      <c r="AQ64" s="74"/>
      <c r="AR64" s="74"/>
      <c r="AS64" s="74"/>
      <c r="AT64" s="74">
        <v>4241.21</v>
      </c>
      <c r="AU64" s="79">
        <f t="shared" si="11"/>
        <v>17803.510000000002</v>
      </c>
      <c r="AV64" s="81">
        <f t="shared" si="12"/>
        <v>511.6100000000006</v>
      </c>
      <c r="AW64" s="80">
        <f t="shared" si="13"/>
        <v>265.73413056980286</v>
      </c>
      <c r="AX64" s="85">
        <f t="shared" si="22"/>
        <v>777.3441305698034</v>
      </c>
      <c r="AY64" s="91">
        <f t="shared" si="23"/>
        <v>2190.4913462626555</v>
      </c>
      <c r="AZ64" s="88">
        <f t="shared" si="24"/>
        <v>2190.471522836184</v>
      </c>
      <c r="BA64" s="22">
        <v>2</v>
      </c>
      <c r="BB64" s="7" t="s">
        <v>39</v>
      </c>
      <c r="BC64" s="12">
        <v>11</v>
      </c>
      <c r="BD64" s="7" t="s">
        <v>58</v>
      </c>
      <c r="BE64" s="7" t="s">
        <v>35</v>
      </c>
      <c r="BF64" s="8">
        <v>43555</v>
      </c>
      <c r="BG64" s="16">
        <v>2192.11</v>
      </c>
      <c r="BH64" s="7">
        <v>18351.850000000002</v>
      </c>
      <c r="BI64" s="7"/>
      <c r="BJ64" s="7"/>
      <c r="BK64" s="7"/>
      <c r="BL64" s="7">
        <v>4241.21</v>
      </c>
      <c r="BM64" s="17">
        <f t="shared" si="14"/>
        <v>18351.850000000002</v>
      </c>
      <c r="BN64" s="18">
        <f t="shared" si="25"/>
        <v>548.3400000000001</v>
      </c>
      <c r="BO64" s="19">
        <f t="shared" si="26"/>
        <v>-162.52898276369643</v>
      </c>
      <c r="BP64" s="15">
        <f t="shared" si="27"/>
        <v>385.8110172363037</v>
      </c>
      <c r="BQ64" s="11">
        <f t="shared" si="28"/>
        <v>1087.9870686063764</v>
      </c>
      <c r="BR64" s="46">
        <f t="shared" si="29"/>
        <v>1086.34859144256</v>
      </c>
      <c r="BS64" s="22">
        <v>2</v>
      </c>
      <c r="BT64" s="7" t="s">
        <v>39</v>
      </c>
      <c r="BU64" s="12">
        <v>11</v>
      </c>
      <c r="BV64" s="7" t="s">
        <v>58</v>
      </c>
      <c r="BW64" s="7" t="s">
        <v>35</v>
      </c>
      <c r="BX64" s="8">
        <v>43585</v>
      </c>
      <c r="BY64" s="16">
        <v>1086.37</v>
      </c>
      <c r="BZ64" s="7">
        <v>18810.91</v>
      </c>
      <c r="CA64" s="7"/>
      <c r="CB64" s="7"/>
      <c r="CC64" s="7"/>
      <c r="CD64" s="7">
        <v>4241.21</v>
      </c>
      <c r="CE64" s="17">
        <v>18810.91</v>
      </c>
      <c r="CF64" s="18">
        <f t="shared" si="30"/>
        <v>459.0599999999977</v>
      </c>
      <c r="CG64" s="19">
        <f t="shared" si="31"/>
        <v>24.653711262108597</v>
      </c>
      <c r="CH64" s="20">
        <f t="shared" si="32"/>
        <v>483.71371126210624</v>
      </c>
      <c r="CI64" s="11">
        <f t="shared" si="33"/>
        <v>1364.0726657591395</v>
      </c>
      <c r="CJ64" s="46">
        <f t="shared" si="34"/>
        <v>1364.0512572016996</v>
      </c>
      <c r="CK64" s="22">
        <v>2</v>
      </c>
      <c r="CL64" s="7" t="s">
        <v>39</v>
      </c>
      <c r="CM64" s="12">
        <v>11</v>
      </c>
      <c r="CN64" s="7" t="s">
        <v>58</v>
      </c>
      <c r="CO64" s="7" t="s">
        <v>35</v>
      </c>
      <c r="CP64" s="8">
        <v>43615</v>
      </c>
      <c r="CQ64" s="16">
        <v>1364.07</v>
      </c>
      <c r="CR64" s="7">
        <v>19279.31</v>
      </c>
      <c r="CS64" s="7"/>
      <c r="CT64" s="7"/>
      <c r="CU64" s="7"/>
      <c r="CV64" s="7">
        <v>4241.21</v>
      </c>
      <c r="CW64" s="17">
        <v>19279.31</v>
      </c>
      <c r="CX64" s="18">
        <f t="shared" si="35"/>
        <v>468.40000000000146</v>
      </c>
      <c r="CY64" s="19">
        <f t="shared" si="36"/>
        <v>201.7557061077704</v>
      </c>
      <c r="CZ64" s="15">
        <f t="shared" si="37"/>
        <v>670.1557061077718</v>
      </c>
      <c r="DA64" s="11">
        <f t="shared" si="38"/>
        <v>1889.8390912239165</v>
      </c>
      <c r="DB64" s="46">
        <f t="shared" si="39"/>
        <v>1889.8203484256162</v>
      </c>
      <c r="DC64" s="22">
        <v>2</v>
      </c>
      <c r="DD64" s="7" t="s">
        <v>39</v>
      </c>
      <c r="DE64" s="1">
        <v>11</v>
      </c>
      <c r="DF64" s="2" t="s">
        <v>58</v>
      </c>
      <c r="DG64" s="2" t="s">
        <v>35</v>
      </c>
      <c r="DH64" s="30">
        <v>43646</v>
      </c>
      <c r="DI64" s="37">
        <v>1889.84</v>
      </c>
      <c r="DJ64" s="31">
        <v>19847.88</v>
      </c>
      <c r="DK64" s="58"/>
      <c r="DL64" s="58"/>
      <c r="DM64" s="58"/>
      <c r="DN64" s="35">
        <v>4241.21</v>
      </c>
      <c r="DO64" s="57">
        <f t="shared" si="15"/>
        <v>19847.88</v>
      </c>
      <c r="DP64" s="18">
        <f t="shared" si="40"/>
        <v>568.5699999999997</v>
      </c>
      <c r="DQ64" s="19">
        <f t="shared" si="41"/>
        <v>-10.50172872877821</v>
      </c>
      <c r="DR64" s="15">
        <f t="shared" si="42"/>
        <v>558.0682712712215</v>
      </c>
      <c r="DS64" s="11">
        <f t="shared" si="43"/>
        <v>1573.7525249848447</v>
      </c>
      <c r="DT64" s="46">
        <f t="shared" si="44"/>
        <v>1573.732873410461</v>
      </c>
      <c r="DU64" s="22">
        <v>2</v>
      </c>
      <c r="DV64" s="7" t="s">
        <v>39</v>
      </c>
      <c r="DW64" s="12">
        <v>11</v>
      </c>
      <c r="DX64" s="7" t="s">
        <v>58</v>
      </c>
      <c r="DY64" s="7" t="s">
        <v>35</v>
      </c>
      <c r="DZ64" s="8">
        <v>43677</v>
      </c>
      <c r="EA64" s="16">
        <v>1573.75</v>
      </c>
      <c r="EB64" s="7">
        <v>20303.66</v>
      </c>
      <c r="EC64" s="7"/>
      <c r="ED64" s="7"/>
      <c r="EE64" s="7"/>
      <c r="EF64" s="7">
        <v>4241.21</v>
      </c>
      <c r="EG64" s="17">
        <v>20303.66</v>
      </c>
      <c r="EH64" s="18">
        <f t="shared" si="45"/>
        <v>455.77999999999884</v>
      </c>
      <c r="EI64" s="19">
        <f t="shared" si="46"/>
        <v>78.72985287830853</v>
      </c>
      <c r="EJ64" s="15">
        <f t="shared" si="47"/>
        <v>534.5098528783074</v>
      </c>
      <c r="EK64" s="11">
        <f t="shared" si="48"/>
        <v>1550.0785733470914</v>
      </c>
      <c r="EL64" s="125">
        <f t="shared" si="49"/>
        <v>1550.0614467575524</v>
      </c>
      <c r="EM64" s="22">
        <v>2</v>
      </c>
      <c r="EN64" s="7" t="s">
        <v>39</v>
      </c>
      <c r="EO64" s="12">
        <v>11</v>
      </c>
      <c r="EP64" s="7" t="s">
        <v>58</v>
      </c>
      <c r="EQ64" s="7" t="s">
        <v>35</v>
      </c>
      <c r="ER64" s="8">
        <v>43708</v>
      </c>
      <c r="ES64" s="16">
        <v>1550.08</v>
      </c>
      <c r="ET64" s="7">
        <v>20980.41</v>
      </c>
      <c r="EU64" s="7"/>
      <c r="EV64" s="7"/>
      <c r="EW64" s="7"/>
      <c r="EX64" s="7">
        <v>4241.21</v>
      </c>
      <c r="EY64" s="17">
        <f t="shared" si="16"/>
        <v>20980.41</v>
      </c>
      <c r="EZ64" s="18">
        <f t="shared" si="50"/>
        <v>676.75</v>
      </c>
      <c r="FA64" s="19">
        <f t="shared" si="51"/>
        <v>77.08557709879973</v>
      </c>
      <c r="FB64" s="15">
        <f t="shared" si="52"/>
        <v>753.8355770987997</v>
      </c>
      <c r="FC64" s="11">
        <f t="shared" si="53"/>
        <v>2186.123173586519</v>
      </c>
      <c r="FD64" s="21">
        <f t="shared" si="54"/>
        <v>2186.1046203440715</v>
      </c>
      <c r="FE64" s="22">
        <v>2</v>
      </c>
      <c r="FF64" s="7" t="s">
        <v>39</v>
      </c>
      <c r="FG64" s="7">
        <v>11</v>
      </c>
      <c r="FH64" s="7" t="s">
        <v>58</v>
      </c>
      <c r="FI64" s="7" t="s">
        <v>35</v>
      </c>
      <c r="FJ64" s="8">
        <v>43735</v>
      </c>
      <c r="FK64" s="16">
        <v>2186.12</v>
      </c>
      <c r="FL64" s="7">
        <v>21385.73</v>
      </c>
      <c r="FM64" s="7"/>
      <c r="FN64" s="7"/>
      <c r="FO64" s="7"/>
      <c r="FP64" s="7">
        <v>4241.21</v>
      </c>
      <c r="FQ64" s="17">
        <v>21385.73</v>
      </c>
      <c r="FR64" s="18">
        <f t="shared" si="55"/>
        <v>405.3199999999997</v>
      </c>
      <c r="FS64" s="19">
        <f t="shared" si="56"/>
        <v>3.032804870015013</v>
      </c>
      <c r="FT64" s="15">
        <f t="shared" si="57"/>
        <v>408.3528048700147</v>
      </c>
      <c r="FU64" s="11">
        <f t="shared" si="58"/>
        <v>1184.2231341230427</v>
      </c>
      <c r="FV64" s="128">
        <f t="shared" si="17"/>
        <v>-89.92738401202764</v>
      </c>
      <c r="FW64" s="13">
        <f t="shared" si="59"/>
        <v>1094.295750111015</v>
      </c>
      <c r="FX64" s="21">
        <f t="shared" si="60"/>
        <v>1094.2803704550865</v>
      </c>
      <c r="FY64" s="22">
        <v>2</v>
      </c>
      <c r="FZ64" s="7" t="s">
        <v>39</v>
      </c>
      <c r="GA64" s="134">
        <v>11</v>
      </c>
      <c r="GB64" s="135" t="s">
        <v>58</v>
      </c>
      <c r="GC64" s="135" t="s">
        <v>35</v>
      </c>
      <c r="GD64" s="136">
        <v>43771</v>
      </c>
      <c r="GE64" s="138">
        <v>1094.29</v>
      </c>
      <c r="GF64" s="139">
        <v>21887.57</v>
      </c>
      <c r="GG64" s="3"/>
      <c r="GH64" s="3"/>
      <c r="GI64" s="3"/>
      <c r="GJ64" s="3">
        <v>4241.21</v>
      </c>
      <c r="GK64" s="32">
        <f t="shared" si="18"/>
        <v>21887.57</v>
      </c>
      <c r="GL64" s="18">
        <f t="shared" si="61"/>
        <v>501.84000000000015</v>
      </c>
      <c r="GM64" s="19">
        <f t="shared" si="62"/>
        <v>-58.06434617283621</v>
      </c>
      <c r="GN64" s="15">
        <f t="shared" si="63"/>
        <v>443.7756538271639</v>
      </c>
      <c r="GO64" s="11">
        <f t="shared" si="64"/>
        <v>1286.9493960987754</v>
      </c>
      <c r="GP64" s="7">
        <f t="shared" si="19"/>
        <v>-190.0310746209891</v>
      </c>
      <c r="GQ64" s="13">
        <f t="shared" si="65"/>
        <v>1096.9183214777863</v>
      </c>
      <c r="GR64" s="46">
        <f t="shared" si="66"/>
        <v>1096.908691932873</v>
      </c>
      <c r="GS64" s="22">
        <v>2</v>
      </c>
      <c r="GT64" s="7" t="s">
        <v>39</v>
      </c>
      <c r="GU64" s="148">
        <v>11</v>
      </c>
      <c r="GV64" s="148" t="s">
        <v>58</v>
      </c>
      <c r="GW64" s="148" t="s">
        <v>35</v>
      </c>
      <c r="GX64" s="155">
        <v>43795</v>
      </c>
      <c r="GY64" s="156">
        <v>1096.92</v>
      </c>
      <c r="GZ64" s="148">
        <v>22268.95</v>
      </c>
      <c r="HA64" s="157"/>
      <c r="HB64" s="157"/>
      <c r="HC64" s="157"/>
      <c r="HD64" s="157">
        <v>4241.21</v>
      </c>
      <c r="HE64" s="158">
        <f t="shared" si="20"/>
        <v>22268.95</v>
      </c>
      <c r="HF64" s="18">
        <f t="shared" si="67"/>
        <v>381.380000000001</v>
      </c>
      <c r="HG64" s="19">
        <f t="shared" si="68"/>
        <v>93.47646404136948</v>
      </c>
      <c r="HH64" s="15">
        <f t="shared" si="69"/>
        <v>474.8564640413705</v>
      </c>
      <c r="HI64" s="11">
        <f t="shared" si="70"/>
        <v>1377.0837457199743</v>
      </c>
      <c r="HJ64" s="7">
        <f t="shared" si="71"/>
        <v>-174.29170419967443</v>
      </c>
      <c r="HK64" s="13">
        <f t="shared" si="72"/>
        <v>1202.7920415202998</v>
      </c>
      <c r="HL64" s="46">
        <f t="shared" si="73"/>
        <v>1202.7807334531726</v>
      </c>
      <c r="HM64" s="22">
        <v>2</v>
      </c>
      <c r="HN64" s="7" t="s">
        <v>39</v>
      </c>
      <c r="HO64" s="12">
        <v>11</v>
      </c>
      <c r="HP64" s="7" t="s">
        <v>58</v>
      </c>
      <c r="HQ64" s="7" t="s">
        <v>35</v>
      </c>
      <c r="HR64" s="8">
        <v>43830</v>
      </c>
      <c r="HS64" s="171">
        <v>1202.79</v>
      </c>
      <c r="HT64" s="7">
        <v>22816.05</v>
      </c>
      <c r="HU64" s="7"/>
      <c r="HV64" s="7"/>
      <c r="HW64" s="7"/>
      <c r="HX64" s="7">
        <v>4241.21</v>
      </c>
      <c r="HY64" s="17">
        <v>22816.05</v>
      </c>
      <c r="HZ64" s="18">
        <f t="shared" si="74"/>
        <v>547.0999999999985</v>
      </c>
      <c r="IA64" s="19">
        <f t="shared" si="75"/>
        <v>65.65199999999987</v>
      </c>
      <c r="IB64" s="20">
        <f t="shared" si="76"/>
        <v>612.7519999999984</v>
      </c>
      <c r="IC64" s="11">
        <f t="shared" si="77"/>
        <v>1776.9807999999953</v>
      </c>
      <c r="ID64" s="7">
        <f t="shared" si="78"/>
        <v>-180.75813890549568</v>
      </c>
      <c r="IE64" s="13">
        <f t="shared" si="79"/>
        <v>1596.2226610944995</v>
      </c>
      <c r="IF64" s="46">
        <f t="shared" si="80"/>
        <v>1596.2133945476721</v>
      </c>
      <c r="IG64" s="22">
        <v>2</v>
      </c>
      <c r="IH64" s="7" t="s">
        <v>39</v>
      </c>
    </row>
    <row r="65" spans="1:242" ht="19.5" customHeight="1">
      <c r="A65" s="10">
        <v>12</v>
      </c>
      <c r="B65" s="6" t="s">
        <v>59</v>
      </c>
      <c r="C65" s="6" t="s">
        <v>11</v>
      </c>
      <c r="D65" s="5">
        <v>43100</v>
      </c>
      <c r="F65" s="6">
        <v>3053.65</v>
      </c>
      <c r="H65" s="6">
        <v>3053.65</v>
      </c>
      <c r="J65" s="6">
        <v>0.6100000000001273</v>
      </c>
      <c r="K65" s="6">
        <v>-0.08755456497406482</v>
      </c>
      <c r="L65" s="6">
        <v>0.5224454350260626</v>
      </c>
      <c r="M65" s="6">
        <v>1.3844804028190658</v>
      </c>
      <c r="N65" s="6">
        <v>-254.6298519131969</v>
      </c>
      <c r="O65" s="10">
        <v>1</v>
      </c>
      <c r="P65" s="6" t="s">
        <v>39</v>
      </c>
      <c r="Q65" s="1">
        <v>12</v>
      </c>
      <c r="R65" s="56" t="s">
        <v>59</v>
      </c>
      <c r="S65" s="54">
        <v>4701.63</v>
      </c>
      <c r="T65" s="55">
        <v>-847.2416261288488</v>
      </c>
      <c r="U65" s="2" t="s">
        <v>11</v>
      </c>
      <c r="V65" s="30">
        <v>43496</v>
      </c>
      <c r="W65" s="37"/>
      <c r="X65" s="31">
        <v>4783.4800000000005</v>
      </c>
      <c r="Y65" s="31"/>
      <c r="Z65" s="31"/>
      <c r="AA65" s="31"/>
      <c r="AB65" s="31"/>
      <c r="AC65" s="57">
        <f t="shared" si="6"/>
        <v>4783.4800000000005</v>
      </c>
      <c r="AD65" s="34">
        <f t="shared" si="7"/>
        <v>81.85000000000036</v>
      </c>
      <c r="AE65" s="38">
        <f t="shared" si="8"/>
        <v>11.02459966832049</v>
      </c>
      <c r="AF65" s="39">
        <f t="shared" si="9"/>
        <v>92.87459966832085</v>
      </c>
      <c r="AG65" s="4">
        <f t="shared" si="21"/>
        <v>257.2626410812488</v>
      </c>
      <c r="AH65" s="40">
        <f t="shared" si="10"/>
        <v>-589.9789850476</v>
      </c>
      <c r="AI65" s="41">
        <v>1</v>
      </c>
      <c r="AJ65" s="36" t="s">
        <v>39</v>
      </c>
      <c r="AK65" s="1">
        <v>12</v>
      </c>
      <c r="AL65" s="2" t="s">
        <v>59</v>
      </c>
      <c r="AM65" s="2" t="s">
        <v>11</v>
      </c>
      <c r="AN65" s="72">
        <v>43521</v>
      </c>
      <c r="AO65" s="73"/>
      <c r="AP65" s="74">
        <v>4885.92</v>
      </c>
      <c r="AQ65" s="74"/>
      <c r="AR65" s="74"/>
      <c r="AS65" s="74"/>
      <c r="AT65" s="74"/>
      <c r="AU65" s="79">
        <f t="shared" si="11"/>
        <v>4885.92</v>
      </c>
      <c r="AV65" s="81">
        <f t="shared" si="12"/>
        <v>102.4399999999996</v>
      </c>
      <c r="AW65" s="80">
        <f t="shared" si="13"/>
        <v>53.20811621268245</v>
      </c>
      <c r="AX65" s="85">
        <f t="shared" si="22"/>
        <v>155.64811621268205</v>
      </c>
      <c r="AY65" s="91">
        <f t="shared" si="23"/>
        <v>438.6034938940703</v>
      </c>
      <c r="AZ65" s="88">
        <f t="shared" si="24"/>
        <v>-151.37549115352965</v>
      </c>
      <c r="BA65" s="22">
        <v>1</v>
      </c>
      <c r="BB65" s="7" t="s">
        <v>39</v>
      </c>
      <c r="BC65" s="12">
        <v>12</v>
      </c>
      <c r="BD65" s="7" t="s">
        <v>59</v>
      </c>
      <c r="BE65" s="7" t="s">
        <v>11</v>
      </c>
      <c r="BF65" s="8">
        <v>43555</v>
      </c>
      <c r="BG65" s="16"/>
      <c r="BH65" s="7">
        <v>5034.16</v>
      </c>
      <c r="BI65" s="7"/>
      <c r="BJ65" s="7"/>
      <c r="BK65" s="7"/>
      <c r="BL65" s="7"/>
      <c r="BM65" s="17">
        <f t="shared" si="14"/>
        <v>5034.16</v>
      </c>
      <c r="BN65" s="18">
        <f t="shared" si="25"/>
        <v>148.23999999999978</v>
      </c>
      <c r="BO65" s="19">
        <f t="shared" si="26"/>
        <v>-43.938608171737094</v>
      </c>
      <c r="BP65" s="15">
        <f t="shared" si="27"/>
        <v>104.3013918282627</v>
      </c>
      <c r="BQ65" s="11">
        <f t="shared" si="28"/>
        <v>294.1299249557008</v>
      </c>
      <c r="BR65" s="46">
        <f t="shared" si="29"/>
        <v>142.75443380217115</v>
      </c>
      <c r="BS65" s="22">
        <v>1</v>
      </c>
      <c r="BT65" s="7" t="s">
        <v>39</v>
      </c>
      <c r="BU65" s="12">
        <v>12</v>
      </c>
      <c r="BV65" s="7" t="s">
        <v>59</v>
      </c>
      <c r="BW65" s="7" t="s">
        <v>11</v>
      </c>
      <c r="BX65" s="8">
        <v>43585</v>
      </c>
      <c r="BY65" s="16"/>
      <c r="BZ65" s="7">
        <v>5127.54</v>
      </c>
      <c r="CA65" s="7"/>
      <c r="CB65" s="7"/>
      <c r="CC65" s="7"/>
      <c r="CD65" s="7"/>
      <c r="CE65" s="17">
        <v>5127.54</v>
      </c>
      <c r="CF65" s="18">
        <f t="shared" si="30"/>
        <v>93.38000000000011</v>
      </c>
      <c r="CG65" s="19">
        <f t="shared" si="31"/>
        <v>5.014951330230722</v>
      </c>
      <c r="CH65" s="20">
        <f t="shared" si="32"/>
        <v>98.39495133023082</v>
      </c>
      <c r="CI65" s="11">
        <f t="shared" si="33"/>
        <v>277.4737627512509</v>
      </c>
      <c r="CJ65" s="46">
        <f t="shared" si="34"/>
        <v>420.22819655342204</v>
      </c>
      <c r="CK65" s="22">
        <v>1</v>
      </c>
      <c r="CL65" s="7" t="s">
        <v>39</v>
      </c>
      <c r="CM65" s="12">
        <v>12</v>
      </c>
      <c r="CN65" s="7" t="s">
        <v>59</v>
      </c>
      <c r="CO65" s="7" t="s">
        <v>11</v>
      </c>
      <c r="CP65" s="8">
        <v>43615</v>
      </c>
      <c r="CQ65" s="16"/>
      <c r="CR65" s="7">
        <v>5246.41</v>
      </c>
      <c r="CS65" s="7"/>
      <c r="CT65" s="7"/>
      <c r="CU65" s="7"/>
      <c r="CV65" s="7"/>
      <c r="CW65" s="17">
        <v>5246.41</v>
      </c>
      <c r="CX65" s="18">
        <f t="shared" si="35"/>
        <v>118.86999999999989</v>
      </c>
      <c r="CY65" s="19">
        <f t="shared" si="36"/>
        <v>51.20132533097902</v>
      </c>
      <c r="CZ65" s="15">
        <f t="shared" si="37"/>
        <v>170.0713253309789</v>
      </c>
      <c r="DA65" s="11">
        <f t="shared" si="38"/>
        <v>479.6011374333605</v>
      </c>
      <c r="DB65" s="46">
        <f t="shared" si="39"/>
        <v>899.8293339867826</v>
      </c>
      <c r="DC65" s="22">
        <v>1</v>
      </c>
      <c r="DD65" s="7" t="s">
        <v>39</v>
      </c>
      <c r="DE65" s="1">
        <v>12</v>
      </c>
      <c r="DF65" s="2" t="s">
        <v>59</v>
      </c>
      <c r="DG65" s="2" t="s">
        <v>11</v>
      </c>
      <c r="DH65" s="30">
        <v>43646</v>
      </c>
      <c r="DI65" s="37"/>
      <c r="DJ65" s="31">
        <v>5405.93</v>
      </c>
      <c r="DK65" s="58"/>
      <c r="DL65" s="58"/>
      <c r="DM65" s="58"/>
      <c r="DN65" s="35"/>
      <c r="DO65" s="57">
        <f t="shared" si="15"/>
        <v>5405.93</v>
      </c>
      <c r="DP65" s="18">
        <f t="shared" si="40"/>
        <v>159.52000000000044</v>
      </c>
      <c r="DQ65" s="19">
        <f t="shared" si="41"/>
        <v>-2.9464019677695013</v>
      </c>
      <c r="DR65" s="15">
        <f t="shared" si="42"/>
        <v>156.57359803223093</v>
      </c>
      <c r="DS65" s="11">
        <f t="shared" si="43"/>
        <v>441.5375464508912</v>
      </c>
      <c r="DT65" s="46">
        <f t="shared" si="44"/>
        <v>1341.366880437674</v>
      </c>
      <c r="DU65" s="22">
        <v>1</v>
      </c>
      <c r="DV65" s="7" t="s">
        <v>39</v>
      </c>
      <c r="DW65" s="12">
        <v>12</v>
      </c>
      <c r="DX65" s="7" t="s">
        <v>59</v>
      </c>
      <c r="DY65" s="7" t="s">
        <v>11</v>
      </c>
      <c r="DZ65" s="8">
        <v>43677</v>
      </c>
      <c r="EA65" s="16">
        <v>2000</v>
      </c>
      <c r="EB65" s="7">
        <v>5552.26</v>
      </c>
      <c r="EC65" s="7"/>
      <c r="ED65" s="7"/>
      <c r="EE65" s="7"/>
      <c r="EF65" s="7"/>
      <c r="EG65" s="17">
        <v>5552.26</v>
      </c>
      <c r="EH65" s="18">
        <f t="shared" si="45"/>
        <v>146.32999999999993</v>
      </c>
      <c r="EI65" s="19">
        <f t="shared" si="46"/>
        <v>25.27653554715633</v>
      </c>
      <c r="EJ65" s="15">
        <f t="shared" si="47"/>
        <v>171.60653554715626</v>
      </c>
      <c r="EK65" s="11">
        <f t="shared" si="48"/>
        <v>497.6589530867531</v>
      </c>
      <c r="EL65" s="125">
        <f t="shared" si="49"/>
        <v>-160.97416647557299</v>
      </c>
      <c r="EM65" s="22">
        <v>1</v>
      </c>
      <c r="EN65" s="7" t="s">
        <v>39</v>
      </c>
      <c r="EO65" s="12">
        <v>12</v>
      </c>
      <c r="EP65" s="7" t="s">
        <v>59</v>
      </c>
      <c r="EQ65" s="7" t="s">
        <v>11</v>
      </c>
      <c r="ER65" s="8">
        <v>43708</v>
      </c>
      <c r="ES65" s="16"/>
      <c r="ET65" s="7">
        <v>5695.3</v>
      </c>
      <c r="EU65" s="7"/>
      <c r="EV65" s="7"/>
      <c r="EW65" s="7"/>
      <c r="EX65" s="7"/>
      <c r="EY65" s="17">
        <f t="shared" si="16"/>
        <v>5695.3</v>
      </c>
      <c r="EZ65" s="18">
        <f t="shared" si="50"/>
        <v>143.03999999999996</v>
      </c>
      <c r="FA65" s="19">
        <f t="shared" si="51"/>
        <v>16.293049055356203</v>
      </c>
      <c r="FB65" s="15">
        <f t="shared" si="52"/>
        <v>159.33304905535616</v>
      </c>
      <c r="FC65" s="11">
        <f t="shared" si="53"/>
        <v>462.06584226053286</v>
      </c>
      <c r="FD65" s="21">
        <f t="shared" si="54"/>
        <v>301.0916757849599</v>
      </c>
      <c r="FE65" s="22">
        <v>1</v>
      </c>
      <c r="FF65" s="7" t="s">
        <v>39</v>
      </c>
      <c r="FG65" s="7">
        <v>12</v>
      </c>
      <c r="FH65" s="7" t="s">
        <v>59</v>
      </c>
      <c r="FI65" s="7" t="s">
        <v>11</v>
      </c>
      <c r="FJ65" s="8">
        <v>43735</v>
      </c>
      <c r="FK65" s="16">
        <v>1500</v>
      </c>
      <c r="FL65" s="7">
        <v>5786.67</v>
      </c>
      <c r="FM65" s="7"/>
      <c r="FN65" s="7"/>
      <c r="FO65" s="7"/>
      <c r="FP65" s="7"/>
      <c r="FQ65" s="17">
        <v>5786.67</v>
      </c>
      <c r="FR65" s="18">
        <f t="shared" si="55"/>
        <v>91.36999999999989</v>
      </c>
      <c r="FS65" s="19">
        <f t="shared" si="56"/>
        <v>0.6836755673869328</v>
      </c>
      <c r="FT65" s="15">
        <f t="shared" si="57"/>
        <v>92.05367556738682</v>
      </c>
      <c r="FU65" s="11">
        <f t="shared" si="58"/>
        <v>266.95565914542175</v>
      </c>
      <c r="FV65" s="128">
        <f t="shared" si="17"/>
        <v>-20.272044501083</v>
      </c>
      <c r="FW65" s="13">
        <f t="shared" si="59"/>
        <v>246.68361464433875</v>
      </c>
      <c r="FX65" s="21">
        <f t="shared" si="60"/>
        <v>-952.2247095707013</v>
      </c>
      <c r="FY65" s="22">
        <v>1</v>
      </c>
      <c r="FZ65" s="7" t="s">
        <v>39</v>
      </c>
      <c r="GA65" s="134">
        <v>12</v>
      </c>
      <c r="GB65" s="135" t="s">
        <v>59</v>
      </c>
      <c r="GC65" s="135" t="s">
        <v>11</v>
      </c>
      <c r="GD65" s="136">
        <v>43771</v>
      </c>
      <c r="GE65" s="138">
        <v>1000</v>
      </c>
      <c r="GF65" s="139">
        <v>5929.89</v>
      </c>
      <c r="GG65" s="3"/>
      <c r="GH65" s="3"/>
      <c r="GI65" s="3"/>
      <c r="GJ65" s="3"/>
      <c r="GK65" s="32">
        <f t="shared" si="18"/>
        <v>5929.89</v>
      </c>
      <c r="GL65" s="18">
        <f t="shared" si="61"/>
        <v>143.22000000000025</v>
      </c>
      <c r="GM65" s="19">
        <f t="shared" si="62"/>
        <v>-16.570970147604047</v>
      </c>
      <c r="GN65" s="15">
        <f t="shared" si="63"/>
        <v>126.64902985239621</v>
      </c>
      <c r="GO65" s="11">
        <f t="shared" si="64"/>
        <v>367.282186571949</v>
      </c>
      <c r="GP65" s="7">
        <f t="shared" si="19"/>
        <v>-54.232923854651084</v>
      </c>
      <c r="GQ65" s="13">
        <f t="shared" si="65"/>
        <v>313.04926271729795</v>
      </c>
      <c r="GR65" s="46">
        <f t="shared" si="66"/>
        <v>-1639.1754468534032</v>
      </c>
      <c r="GS65" s="22">
        <v>1</v>
      </c>
      <c r="GT65" s="7" t="s">
        <v>39</v>
      </c>
      <c r="GU65" s="148">
        <v>12</v>
      </c>
      <c r="GV65" s="148" t="s">
        <v>59</v>
      </c>
      <c r="GW65" s="148" t="s">
        <v>11</v>
      </c>
      <c r="GX65" s="155">
        <v>43799</v>
      </c>
      <c r="GY65" s="156"/>
      <c r="GZ65" s="148">
        <v>6045.900000000001</v>
      </c>
      <c r="HA65" s="157"/>
      <c r="HB65" s="157"/>
      <c r="HC65" s="157"/>
      <c r="HD65" s="157"/>
      <c r="HE65" s="158">
        <f t="shared" si="20"/>
        <v>6045.900000000001</v>
      </c>
      <c r="HF65" s="18">
        <f t="shared" si="67"/>
        <v>116.01000000000022</v>
      </c>
      <c r="HG65" s="19">
        <f t="shared" si="68"/>
        <v>28.434119758349322</v>
      </c>
      <c r="HH65" s="15">
        <f t="shared" si="69"/>
        <v>144.44411975834953</v>
      </c>
      <c r="HI65" s="11">
        <f t="shared" si="70"/>
        <v>418.88794729921364</v>
      </c>
      <c r="HJ65" s="7">
        <f t="shared" si="71"/>
        <v>-53.01688762967176</v>
      </c>
      <c r="HK65" s="13">
        <f t="shared" si="72"/>
        <v>365.87105966954186</v>
      </c>
      <c r="HL65" s="46">
        <f t="shared" si="73"/>
        <v>-1273.3043871838613</v>
      </c>
      <c r="HM65" s="22">
        <v>1</v>
      </c>
      <c r="HN65" s="7" t="s">
        <v>39</v>
      </c>
      <c r="HO65" s="12">
        <v>12</v>
      </c>
      <c r="HP65" s="7" t="s">
        <v>59</v>
      </c>
      <c r="HQ65" s="7" t="s">
        <v>11</v>
      </c>
      <c r="HR65" s="8">
        <v>43830</v>
      </c>
      <c r="HS65" s="171"/>
      <c r="HT65" s="7">
        <v>6114.71</v>
      </c>
      <c r="HU65" s="7"/>
      <c r="HV65" s="7"/>
      <c r="HW65" s="7"/>
      <c r="HX65" s="7"/>
      <c r="HY65" s="17">
        <v>6114.71</v>
      </c>
      <c r="HZ65" s="18">
        <f t="shared" si="74"/>
        <v>68.80999999999949</v>
      </c>
      <c r="IA65" s="19">
        <f t="shared" si="75"/>
        <v>8.257199999999944</v>
      </c>
      <c r="IB65" s="20">
        <f t="shared" si="76"/>
        <v>77.06719999999943</v>
      </c>
      <c r="IC65" s="11">
        <f t="shared" si="77"/>
        <v>223.49487999999835</v>
      </c>
      <c r="ID65" s="7">
        <f t="shared" si="78"/>
        <v>-22.73435850500292</v>
      </c>
      <c r="IE65" s="13">
        <f t="shared" si="79"/>
        <v>200.76052149499543</v>
      </c>
      <c r="IF65" s="46">
        <f t="shared" si="80"/>
        <v>-1072.543865688866</v>
      </c>
      <c r="IG65" s="22">
        <v>1</v>
      </c>
      <c r="IH65" s="7" t="s">
        <v>39</v>
      </c>
    </row>
    <row r="66" spans="1:242" ht="19.5" customHeight="1">
      <c r="A66" s="10">
        <v>13</v>
      </c>
      <c r="B66" s="6" t="s">
        <v>60</v>
      </c>
      <c r="C66" s="6" t="s">
        <v>9</v>
      </c>
      <c r="D66" s="5">
        <v>43100</v>
      </c>
      <c r="E66" s="6">
        <v>5300</v>
      </c>
      <c r="F66" s="6">
        <v>18922.7</v>
      </c>
      <c r="H66" s="6">
        <v>18922.7</v>
      </c>
      <c r="J66" s="6">
        <v>791.8300000000017</v>
      </c>
      <c r="K66" s="6">
        <v>-113.65300193999907</v>
      </c>
      <c r="L66" s="6">
        <v>678.1769980600027</v>
      </c>
      <c r="M66" s="6">
        <v>1797.169044859007</v>
      </c>
      <c r="N66" s="6">
        <v>-1451.8771723203354</v>
      </c>
      <c r="O66" s="10">
        <v>1</v>
      </c>
      <c r="P66" s="6" t="s">
        <v>39</v>
      </c>
      <c r="Q66" s="1">
        <v>13</v>
      </c>
      <c r="R66" s="56" t="s">
        <v>60</v>
      </c>
      <c r="S66" s="54">
        <v>26309.75</v>
      </c>
      <c r="T66" s="55">
        <v>2991.633007893032</v>
      </c>
      <c r="U66" s="2" t="s">
        <v>9</v>
      </c>
      <c r="V66" s="30">
        <v>43496</v>
      </c>
      <c r="W66" s="37">
        <v>3000</v>
      </c>
      <c r="X66" s="31">
        <v>27668.760000000002</v>
      </c>
      <c r="Y66" s="31"/>
      <c r="Z66" s="31"/>
      <c r="AA66" s="31"/>
      <c r="AB66" s="31"/>
      <c r="AC66" s="57">
        <f t="shared" si="6"/>
        <v>27668.760000000002</v>
      </c>
      <c r="AD66" s="34">
        <f t="shared" si="7"/>
        <v>1359.010000000002</v>
      </c>
      <c r="AE66" s="38">
        <f t="shared" si="8"/>
        <v>183.04876231208536</v>
      </c>
      <c r="AF66" s="39">
        <f t="shared" si="9"/>
        <v>1542.0587623120873</v>
      </c>
      <c r="AG66" s="4">
        <f t="shared" si="21"/>
        <v>4271.5027716044815</v>
      </c>
      <c r="AH66" s="40">
        <f t="shared" si="10"/>
        <v>4263.135779497514</v>
      </c>
      <c r="AI66" s="41">
        <v>1</v>
      </c>
      <c r="AJ66" s="36" t="s">
        <v>39</v>
      </c>
      <c r="AK66" s="1">
        <v>13</v>
      </c>
      <c r="AL66" s="2" t="s">
        <v>60</v>
      </c>
      <c r="AM66" s="2" t="s">
        <v>9</v>
      </c>
      <c r="AN66" s="72">
        <v>43521</v>
      </c>
      <c r="AO66" s="73">
        <v>4500</v>
      </c>
      <c r="AP66" s="74">
        <v>28696.77</v>
      </c>
      <c r="AQ66" s="74"/>
      <c r="AR66" s="74"/>
      <c r="AS66" s="74"/>
      <c r="AT66" s="74"/>
      <c r="AU66" s="79">
        <f t="shared" si="11"/>
        <v>28696.77</v>
      </c>
      <c r="AV66" s="81">
        <f t="shared" si="12"/>
        <v>1028.0099999999984</v>
      </c>
      <c r="AW66" s="80">
        <f t="shared" si="13"/>
        <v>533.9562236216303</v>
      </c>
      <c r="AX66" s="85">
        <f t="shared" si="22"/>
        <v>1561.9662236216286</v>
      </c>
      <c r="AY66" s="91">
        <f t="shared" si="23"/>
        <v>4401.491387720072</v>
      </c>
      <c r="AZ66" s="88">
        <f t="shared" si="24"/>
        <v>4164.627167217586</v>
      </c>
      <c r="BA66" s="22">
        <v>1</v>
      </c>
      <c r="BB66" s="7" t="s">
        <v>39</v>
      </c>
      <c r="BC66" s="12">
        <v>13</v>
      </c>
      <c r="BD66" s="7" t="s">
        <v>60</v>
      </c>
      <c r="BE66" s="7" t="s">
        <v>9</v>
      </c>
      <c r="BF66" s="8">
        <v>43555</v>
      </c>
      <c r="BG66" s="16">
        <v>4300</v>
      </c>
      <c r="BH66" s="7">
        <v>29171.36</v>
      </c>
      <c r="BI66" s="7"/>
      <c r="BJ66" s="7"/>
      <c r="BK66" s="7"/>
      <c r="BL66" s="7"/>
      <c r="BM66" s="17">
        <f t="shared" si="14"/>
        <v>29171.36</v>
      </c>
      <c r="BN66" s="18">
        <f t="shared" si="25"/>
        <v>474.59000000000015</v>
      </c>
      <c r="BO66" s="19">
        <f t="shared" si="26"/>
        <v>-140.6693473571556</v>
      </c>
      <c r="BP66" s="15">
        <f t="shared" si="27"/>
        <v>333.9206526428445</v>
      </c>
      <c r="BQ66" s="11">
        <f t="shared" si="28"/>
        <v>941.6562404528215</v>
      </c>
      <c r="BR66" s="46">
        <f t="shared" si="29"/>
        <v>806.2834076704078</v>
      </c>
      <c r="BS66" s="22">
        <v>1</v>
      </c>
      <c r="BT66" s="7" t="s">
        <v>39</v>
      </c>
      <c r="BU66" s="12">
        <v>13</v>
      </c>
      <c r="BV66" s="7" t="s">
        <v>60</v>
      </c>
      <c r="BW66" s="7" t="s">
        <v>9</v>
      </c>
      <c r="BX66" s="8">
        <v>43585</v>
      </c>
      <c r="BY66" s="16">
        <v>1000</v>
      </c>
      <c r="BZ66" s="7">
        <v>29599.66</v>
      </c>
      <c r="CA66" s="7"/>
      <c r="CB66" s="7"/>
      <c r="CC66" s="7"/>
      <c r="CD66" s="7"/>
      <c r="CE66" s="17">
        <v>29599.66</v>
      </c>
      <c r="CF66" s="18">
        <f t="shared" si="30"/>
        <v>428.2999999999993</v>
      </c>
      <c r="CG66" s="19">
        <f t="shared" si="31"/>
        <v>23.001752567335746</v>
      </c>
      <c r="CH66" s="20">
        <f t="shared" si="32"/>
        <v>451.30175256733503</v>
      </c>
      <c r="CI66" s="11">
        <f t="shared" si="33"/>
        <v>1272.6709422398847</v>
      </c>
      <c r="CJ66" s="46">
        <f t="shared" si="34"/>
        <v>1078.9543499102924</v>
      </c>
      <c r="CK66" s="22">
        <v>1</v>
      </c>
      <c r="CL66" s="7" t="s">
        <v>39</v>
      </c>
      <c r="CM66" s="12">
        <v>13</v>
      </c>
      <c r="CN66" s="7" t="s">
        <v>60</v>
      </c>
      <c r="CO66" s="7" t="s">
        <v>9</v>
      </c>
      <c r="CP66" s="8">
        <v>43615</v>
      </c>
      <c r="CQ66" s="16">
        <v>2200</v>
      </c>
      <c r="CR66" s="7">
        <v>29980.190000000002</v>
      </c>
      <c r="CS66" s="7"/>
      <c r="CT66" s="7"/>
      <c r="CU66" s="7"/>
      <c r="CV66" s="7"/>
      <c r="CW66" s="17">
        <v>29980.190000000002</v>
      </c>
      <c r="CX66" s="18">
        <f t="shared" si="35"/>
        <v>380.5300000000025</v>
      </c>
      <c r="CY66" s="19">
        <f t="shared" si="36"/>
        <v>163.9071281921224</v>
      </c>
      <c r="CZ66" s="15">
        <f t="shared" si="37"/>
        <v>544.4371281921249</v>
      </c>
      <c r="DA66" s="11">
        <f t="shared" si="38"/>
        <v>1535.3127015017922</v>
      </c>
      <c r="DB66" s="46">
        <f t="shared" si="39"/>
        <v>414.2670514120846</v>
      </c>
      <c r="DC66" s="22">
        <v>1</v>
      </c>
      <c r="DD66" s="7" t="s">
        <v>39</v>
      </c>
      <c r="DE66" s="1">
        <v>13</v>
      </c>
      <c r="DF66" s="2" t="s">
        <v>60</v>
      </c>
      <c r="DG66" s="2" t="s">
        <v>9</v>
      </c>
      <c r="DH66" s="30">
        <v>43646</v>
      </c>
      <c r="DI66" s="37">
        <v>1500</v>
      </c>
      <c r="DJ66" s="31">
        <v>30443.93</v>
      </c>
      <c r="DK66" s="58"/>
      <c r="DL66" s="58"/>
      <c r="DM66" s="58"/>
      <c r="DN66" s="35"/>
      <c r="DO66" s="57">
        <f t="shared" si="15"/>
        <v>30443.93</v>
      </c>
      <c r="DP66" s="18">
        <f t="shared" si="40"/>
        <v>463.73999999999796</v>
      </c>
      <c r="DQ66" s="19">
        <f t="shared" si="41"/>
        <v>-8.565474226011903</v>
      </c>
      <c r="DR66" s="15">
        <f t="shared" si="42"/>
        <v>455.17452577398603</v>
      </c>
      <c r="DS66" s="11">
        <f t="shared" si="43"/>
        <v>1283.5921626826405</v>
      </c>
      <c r="DT66" s="46">
        <f t="shared" si="44"/>
        <v>197.85921409472508</v>
      </c>
      <c r="DU66" s="22">
        <v>1</v>
      </c>
      <c r="DV66" s="7" t="s">
        <v>39</v>
      </c>
      <c r="DW66" s="12">
        <v>13</v>
      </c>
      <c r="DX66" s="7" t="s">
        <v>60</v>
      </c>
      <c r="DY66" s="7" t="s">
        <v>9</v>
      </c>
      <c r="DZ66" s="8">
        <v>43677</v>
      </c>
      <c r="EA66" s="16">
        <v>1500</v>
      </c>
      <c r="EB66" s="7">
        <v>30928.95</v>
      </c>
      <c r="EC66" s="7"/>
      <c r="ED66" s="7"/>
      <c r="EE66" s="7"/>
      <c r="EF66" s="7"/>
      <c r="EG66" s="17">
        <v>30928.95</v>
      </c>
      <c r="EH66" s="18">
        <f t="shared" si="45"/>
        <v>485.02000000000044</v>
      </c>
      <c r="EI66" s="19">
        <f t="shared" si="46"/>
        <v>83.78066883811782</v>
      </c>
      <c r="EJ66" s="15">
        <f t="shared" si="47"/>
        <v>568.8006688381182</v>
      </c>
      <c r="EK66" s="11">
        <f t="shared" si="48"/>
        <v>1649.5219396305429</v>
      </c>
      <c r="EL66" s="125">
        <f t="shared" si="49"/>
        <v>347.38115372526795</v>
      </c>
      <c r="EM66" s="22">
        <v>1</v>
      </c>
      <c r="EN66" s="7" t="s">
        <v>39</v>
      </c>
      <c r="EO66" s="12">
        <v>13</v>
      </c>
      <c r="EP66" s="7" t="s">
        <v>60</v>
      </c>
      <c r="EQ66" s="7" t="s">
        <v>9</v>
      </c>
      <c r="ER66" s="8">
        <v>43708</v>
      </c>
      <c r="ES66" s="16">
        <v>1500</v>
      </c>
      <c r="ET66" s="7">
        <v>31279.09</v>
      </c>
      <c r="EU66" s="7"/>
      <c r="EV66" s="7"/>
      <c r="EW66" s="7"/>
      <c r="EX66" s="7"/>
      <c r="EY66" s="17">
        <f t="shared" si="16"/>
        <v>31279.09</v>
      </c>
      <c r="EZ66" s="18">
        <f t="shared" si="50"/>
        <v>350.1399999999994</v>
      </c>
      <c r="FA66" s="19">
        <f t="shared" si="51"/>
        <v>39.88288727798108</v>
      </c>
      <c r="FB66" s="15">
        <f t="shared" si="52"/>
        <v>390.0228872779805</v>
      </c>
      <c r="FC66" s="11">
        <f t="shared" si="53"/>
        <v>1131.0663731061434</v>
      </c>
      <c r="FD66" s="21">
        <f t="shared" si="54"/>
        <v>-21.552473168588676</v>
      </c>
      <c r="FE66" s="22">
        <v>1</v>
      </c>
      <c r="FF66" s="7" t="s">
        <v>39</v>
      </c>
      <c r="FG66" s="7">
        <v>13</v>
      </c>
      <c r="FH66" s="7" t="s">
        <v>60</v>
      </c>
      <c r="FI66" s="7" t="s">
        <v>9</v>
      </c>
      <c r="FJ66" s="8">
        <v>43735</v>
      </c>
      <c r="FK66" s="16">
        <v>1500</v>
      </c>
      <c r="FL66" s="7">
        <v>31609.55</v>
      </c>
      <c r="FM66" s="7"/>
      <c r="FN66" s="7"/>
      <c r="FO66" s="7"/>
      <c r="FP66" s="7"/>
      <c r="FQ66" s="17">
        <v>31609.55</v>
      </c>
      <c r="FR66" s="18">
        <f t="shared" si="55"/>
        <v>330.4599999999991</v>
      </c>
      <c r="FS66" s="19">
        <f t="shared" si="56"/>
        <v>2.4726652949401937</v>
      </c>
      <c r="FT66" s="15">
        <f t="shared" si="57"/>
        <v>332.93266529493934</v>
      </c>
      <c r="FU66" s="11">
        <f t="shared" si="58"/>
        <v>965.504729355324</v>
      </c>
      <c r="FV66" s="128">
        <f t="shared" si="17"/>
        <v>-73.31837392829024</v>
      </c>
      <c r="FW66" s="13">
        <f t="shared" si="59"/>
        <v>892.1863554270337</v>
      </c>
      <c r="FX66" s="21">
        <f t="shared" si="60"/>
        <v>-629.366117741555</v>
      </c>
      <c r="FY66" s="22">
        <v>1</v>
      </c>
      <c r="FZ66" s="7" t="s">
        <v>39</v>
      </c>
      <c r="GA66" s="134">
        <v>13</v>
      </c>
      <c r="GB66" s="135" t="s">
        <v>60</v>
      </c>
      <c r="GC66" s="135" t="s">
        <v>9</v>
      </c>
      <c r="GD66" s="136">
        <v>43771</v>
      </c>
      <c r="GE66" s="138">
        <v>2500</v>
      </c>
      <c r="GF66" s="139">
        <v>32174.98</v>
      </c>
      <c r="GG66" s="3"/>
      <c r="GH66" s="3"/>
      <c r="GI66" s="3"/>
      <c r="GJ66" s="3"/>
      <c r="GK66" s="32">
        <f t="shared" si="18"/>
        <v>32174.98</v>
      </c>
      <c r="GL66" s="18">
        <f t="shared" si="61"/>
        <v>565.4300000000003</v>
      </c>
      <c r="GM66" s="19">
        <f t="shared" si="62"/>
        <v>-65.42189394330222</v>
      </c>
      <c r="GN66" s="15">
        <f t="shared" si="63"/>
        <v>500.00810605669807</v>
      </c>
      <c r="GO66" s="11">
        <f t="shared" si="64"/>
        <v>1450.0235075644243</v>
      </c>
      <c r="GP66" s="7">
        <f t="shared" si="19"/>
        <v>-214.11061398642173</v>
      </c>
      <c r="GQ66" s="13">
        <f t="shared" si="65"/>
        <v>1235.9128935780027</v>
      </c>
      <c r="GR66" s="46">
        <f t="shared" si="66"/>
        <v>-1893.4532241635525</v>
      </c>
      <c r="GS66" s="22">
        <v>1</v>
      </c>
      <c r="GT66" s="7" t="s">
        <v>39</v>
      </c>
      <c r="GU66" s="148">
        <v>13</v>
      </c>
      <c r="GV66" s="148" t="s">
        <v>60</v>
      </c>
      <c r="GW66" s="148" t="s">
        <v>9</v>
      </c>
      <c r="GX66" s="155">
        <v>43799</v>
      </c>
      <c r="GY66" s="156"/>
      <c r="GZ66" s="148">
        <v>32819.090000000004</v>
      </c>
      <c r="HA66" s="157"/>
      <c r="HB66" s="157"/>
      <c r="HC66" s="157"/>
      <c r="HD66" s="157"/>
      <c r="HE66" s="158">
        <f t="shared" si="20"/>
        <v>32819.090000000004</v>
      </c>
      <c r="HF66" s="18">
        <f t="shared" si="67"/>
        <v>644.1100000000042</v>
      </c>
      <c r="HG66" s="19">
        <f t="shared" si="68"/>
        <v>157.87174275967993</v>
      </c>
      <c r="HH66" s="15">
        <f t="shared" si="69"/>
        <v>801.9817427596842</v>
      </c>
      <c r="HI66" s="11">
        <f t="shared" si="70"/>
        <v>2325.747054003084</v>
      </c>
      <c r="HJ66" s="7">
        <f t="shared" si="71"/>
        <v>-294.3600335414881</v>
      </c>
      <c r="HK66" s="13">
        <f t="shared" si="72"/>
        <v>2031.387020461596</v>
      </c>
      <c r="HL66" s="46">
        <f t="shared" si="73"/>
        <v>137.9337962980435</v>
      </c>
      <c r="HM66" s="22">
        <v>1</v>
      </c>
      <c r="HN66" s="7" t="s">
        <v>39</v>
      </c>
      <c r="HO66" s="12">
        <v>13</v>
      </c>
      <c r="HP66" s="7" t="s">
        <v>60</v>
      </c>
      <c r="HQ66" s="7" t="s">
        <v>9</v>
      </c>
      <c r="HR66" s="8">
        <v>43830</v>
      </c>
      <c r="HS66" s="171">
        <v>3000</v>
      </c>
      <c r="HT66" s="7">
        <v>33421.32</v>
      </c>
      <c r="HU66" s="7"/>
      <c r="HV66" s="7"/>
      <c r="HW66" s="7"/>
      <c r="HX66" s="7"/>
      <c r="HY66" s="17">
        <v>33421.32</v>
      </c>
      <c r="HZ66" s="18">
        <f t="shared" si="74"/>
        <v>602.2299999999959</v>
      </c>
      <c r="IA66" s="19">
        <f t="shared" si="75"/>
        <v>72.26759999999956</v>
      </c>
      <c r="IB66" s="20">
        <f t="shared" si="76"/>
        <v>674.4975999999955</v>
      </c>
      <c r="IC66" s="11">
        <f t="shared" si="77"/>
        <v>1956.0430399999868</v>
      </c>
      <c r="ID66" s="7">
        <f t="shared" si="78"/>
        <v>-198.97271795477283</v>
      </c>
      <c r="IE66" s="13">
        <f t="shared" si="79"/>
        <v>1757.070322045214</v>
      </c>
      <c r="IF66" s="46">
        <f t="shared" si="80"/>
        <v>-1104.9958816567425</v>
      </c>
      <c r="IG66" s="22">
        <v>1</v>
      </c>
      <c r="IH66" s="7" t="s">
        <v>39</v>
      </c>
    </row>
    <row r="67" spans="1:242" ht="19.5" customHeight="1">
      <c r="A67" s="10">
        <v>14</v>
      </c>
      <c r="B67" s="6" t="s">
        <v>61</v>
      </c>
      <c r="C67" s="6" t="s">
        <v>16</v>
      </c>
      <c r="D67" s="5">
        <v>43100</v>
      </c>
      <c r="F67" s="6">
        <v>992</v>
      </c>
      <c r="H67" s="6">
        <v>992</v>
      </c>
      <c r="J67" s="6">
        <v>7.5499999999999545</v>
      </c>
      <c r="K67" s="6">
        <v>-1.0836671566459795</v>
      </c>
      <c r="L67" s="6">
        <v>6.466332843353975</v>
      </c>
      <c r="M67" s="6">
        <v>17.13578203488803</v>
      </c>
      <c r="N67" s="6">
        <v>-18.233900883824923</v>
      </c>
      <c r="O67" s="10">
        <v>1</v>
      </c>
      <c r="P67" s="6" t="s">
        <v>39</v>
      </c>
      <c r="Q67" s="1">
        <v>14</v>
      </c>
      <c r="R67" s="56" t="s">
        <v>61</v>
      </c>
      <c r="S67" s="54">
        <v>1422.19</v>
      </c>
      <c r="T67" s="55">
        <v>273.90823401505514</v>
      </c>
      <c r="U67" s="2" t="s">
        <v>16</v>
      </c>
      <c r="V67" s="30">
        <v>43496</v>
      </c>
      <c r="W67" s="37">
        <v>500</v>
      </c>
      <c r="X67" s="31">
        <v>1461.57</v>
      </c>
      <c r="Y67" s="31"/>
      <c r="Z67" s="31"/>
      <c r="AA67" s="31"/>
      <c r="AB67" s="31"/>
      <c r="AC67" s="57">
        <f t="shared" si="6"/>
        <v>1461.57</v>
      </c>
      <c r="AD67" s="34">
        <f t="shared" si="7"/>
        <v>39.37999999999988</v>
      </c>
      <c r="AE67" s="38">
        <f t="shared" si="8"/>
        <v>5.304199571636624</v>
      </c>
      <c r="AF67" s="39">
        <f t="shared" si="9"/>
        <v>44.684199571636505</v>
      </c>
      <c r="AG67" s="4">
        <f t="shared" si="21"/>
        <v>123.77523281343312</v>
      </c>
      <c r="AH67" s="40">
        <f t="shared" si="10"/>
        <v>-102.31653317151174</v>
      </c>
      <c r="AI67" s="41">
        <v>1</v>
      </c>
      <c r="AJ67" s="36" t="s">
        <v>39</v>
      </c>
      <c r="AK67" s="1">
        <v>14</v>
      </c>
      <c r="AL67" s="2" t="s">
        <v>61</v>
      </c>
      <c r="AM67" s="2" t="s">
        <v>16</v>
      </c>
      <c r="AN67" s="72">
        <v>43521</v>
      </c>
      <c r="AO67" s="73"/>
      <c r="AP67" s="74">
        <v>1506.7</v>
      </c>
      <c r="AQ67" s="74"/>
      <c r="AR67" s="74"/>
      <c r="AS67" s="74"/>
      <c r="AT67" s="74"/>
      <c r="AU67" s="79">
        <f t="shared" si="11"/>
        <v>1506.7</v>
      </c>
      <c r="AV67" s="81">
        <f t="shared" si="12"/>
        <v>45.13000000000011</v>
      </c>
      <c r="AW67" s="80">
        <f t="shared" si="13"/>
        <v>23.440865723139147</v>
      </c>
      <c r="AX67" s="85">
        <f t="shared" si="22"/>
        <v>68.57086572313926</v>
      </c>
      <c r="AY67" s="91">
        <f t="shared" si="23"/>
        <v>193.2270175657899</v>
      </c>
      <c r="AZ67" s="88">
        <f t="shared" si="24"/>
        <v>90.91048439427817</v>
      </c>
      <c r="BA67" s="22">
        <v>1</v>
      </c>
      <c r="BB67" s="7" t="s">
        <v>39</v>
      </c>
      <c r="BC67" s="12">
        <v>14</v>
      </c>
      <c r="BD67" s="7" t="s">
        <v>61</v>
      </c>
      <c r="BE67" s="7" t="s">
        <v>16</v>
      </c>
      <c r="BF67" s="8">
        <v>43555</v>
      </c>
      <c r="BG67" s="16"/>
      <c r="BH67" s="7">
        <v>1522.1000000000001</v>
      </c>
      <c r="BI67" s="7"/>
      <c r="BJ67" s="7"/>
      <c r="BK67" s="7"/>
      <c r="BL67" s="7"/>
      <c r="BM67" s="17">
        <f t="shared" si="14"/>
        <v>1522.1000000000001</v>
      </c>
      <c r="BN67" s="18">
        <f t="shared" si="25"/>
        <v>15.400000000000091</v>
      </c>
      <c r="BO67" s="19">
        <f t="shared" si="26"/>
        <v>-4.564588274721777</v>
      </c>
      <c r="BP67" s="15">
        <f t="shared" si="27"/>
        <v>10.835411725278313</v>
      </c>
      <c r="BQ67" s="11">
        <f t="shared" si="28"/>
        <v>30.55586106528484</v>
      </c>
      <c r="BR67" s="46">
        <f t="shared" si="29"/>
        <v>121.46634545956302</v>
      </c>
      <c r="BS67" s="22">
        <v>1</v>
      </c>
      <c r="BT67" s="7" t="s">
        <v>39</v>
      </c>
      <c r="BU67" s="12">
        <v>14</v>
      </c>
      <c r="BV67" s="7" t="s">
        <v>61</v>
      </c>
      <c r="BW67" s="7" t="s">
        <v>16</v>
      </c>
      <c r="BX67" s="8">
        <v>43585</v>
      </c>
      <c r="BY67" s="16"/>
      <c r="BZ67" s="7">
        <v>1549.56</v>
      </c>
      <c r="CA67" s="7"/>
      <c r="CB67" s="7"/>
      <c r="CC67" s="7"/>
      <c r="CD67" s="7"/>
      <c r="CE67" s="17">
        <v>1549.56</v>
      </c>
      <c r="CF67" s="18">
        <f t="shared" si="30"/>
        <v>27.45999999999981</v>
      </c>
      <c r="CG67" s="19">
        <f t="shared" si="31"/>
        <v>1.4747329570372083</v>
      </c>
      <c r="CH67" s="20">
        <f t="shared" si="32"/>
        <v>28.934732957037017</v>
      </c>
      <c r="CI67" s="11">
        <f t="shared" si="33"/>
        <v>81.59594693884438</v>
      </c>
      <c r="CJ67" s="46">
        <f t="shared" si="34"/>
        <v>203.0622923984074</v>
      </c>
      <c r="CK67" s="22">
        <v>1</v>
      </c>
      <c r="CL67" s="7" t="s">
        <v>39</v>
      </c>
      <c r="CM67" s="12">
        <v>14</v>
      </c>
      <c r="CN67" s="7" t="s">
        <v>61</v>
      </c>
      <c r="CO67" s="7" t="s">
        <v>16</v>
      </c>
      <c r="CP67" s="8">
        <v>43615</v>
      </c>
      <c r="CQ67" s="16"/>
      <c r="CR67" s="7">
        <v>1616.16</v>
      </c>
      <c r="CS67" s="7"/>
      <c r="CT67" s="7"/>
      <c r="CU67" s="7"/>
      <c r="CV67" s="7"/>
      <c r="CW67" s="17">
        <v>1616.16</v>
      </c>
      <c r="CX67" s="18">
        <f t="shared" si="35"/>
        <v>66.60000000000014</v>
      </c>
      <c r="CY67" s="19">
        <f t="shared" si="36"/>
        <v>28.68687025358133</v>
      </c>
      <c r="CZ67" s="15">
        <f t="shared" si="37"/>
        <v>95.28687025358147</v>
      </c>
      <c r="DA67" s="11">
        <f t="shared" si="38"/>
        <v>268.70897411509975</v>
      </c>
      <c r="DB67" s="46">
        <f t="shared" si="39"/>
        <v>471.77126651350716</v>
      </c>
      <c r="DC67" s="22">
        <v>1</v>
      </c>
      <c r="DD67" s="7" t="s">
        <v>39</v>
      </c>
      <c r="DE67" s="1">
        <v>14</v>
      </c>
      <c r="DF67" s="2" t="s">
        <v>61</v>
      </c>
      <c r="DG67" s="2" t="s">
        <v>16</v>
      </c>
      <c r="DH67" s="30">
        <v>43646</v>
      </c>
      <c r="DI67" s="37"/>
      <c r="DJ67" s="31">
        <v>1673.47</v>
      </c>
      <c r="DK67" s="58"/>
      <c r="DL67" s="58"/>
      <c r="DM67" s="58"/>
      <c r="DN67" s="35"/>
      <c r="DO67" s="57">
        <f t="shared" si="15"/>
        <v>1673.47</v>
      </c>
      <c r="DP67" s="18">
        <f t="shared" si="40"/>
        <v>57.309999999999945</v>
      </c>
      <c r="DQ67" s="19">
        <f t="shared" si="41"/>
        <v>-1.0585399747546984</v>
      </c>
      <c r="DR67" s="15">
        <f t="shared" si="42"/>
        <v>56.251460025245244</v>
      </c>
      <c r="DS67" s="11">
        <f t="shared" si="43"/>
        <v>158.62911727119157</v>
      </c>
      <c r="DT67" s="46">
        <f t="shared" si="44"/>
        <v>630.4003837846988</v>
      </c>
      <c r="DU67" s="22">
        <v>1</v>
      </c>
      <c r="DV67" s="7" t="s">
        <v>39</v>
      </c>
      <c r="DW67" s="12">
        <v>14</v>
      </c>
      <c r="DX67" s="7" t="s">
        <v>61</v>
      </c>
      <c r="DY67" s="7" t="s">
        <v>16</v>
      </c>
      <c r="DZ67" s="8">
        <v>43677</v>
      </c>
      <c r="EA67" s="16">
        <v>1285</v>
      </c>
      <c r="EB67" s="7">
        <v>1810.69</v>
      </c>
      <c r="EC67" s="7"/>
      <c r="ED67" s="7"/>
      <c r="EE67" s="7"/>
      <c r="EF67" s="7"/>
      <c r="EG67" s="17">
        <v>1810.69</v>
      </c>
      <c r="EH67" s="18">
        <f t="shared" si="45"/>
        <v>137.22000000000003</v>
      </c>
      <c r="EI67" s="19">
        <f t="shared" si="46"/>
        <v>23.702905814124197</v>
      </c>
      <c r="EJ67" s="15">
        <f t="shared" si="47"/>
        <v>160.92290581412422</v>
      </c>
      <c r="EK67" s="11">
        <f t="shared" si="48"/>
        <v>466.67642686096025</v>
      </c>
      <c r="EL67" s="125">
        <f t="shared" si="49"/>
        <v>-187.923189354341</v>
      </c>
      <c r="EM67" s="22">
        <v>1</v>
      </c>
      <c r="EN67" s="7" t="s">
        <v>39</v>
      </c>
      <c r="EO67" s="12">
        <v>14</v>
      </c>
      <c r="EP67" s="7" t="s">
        <v>61</v>
      </c>
      <c r="EQ67" s="7" t="s">
        <v>16</v>
      </c>
      <c r="ER67" s="8">
        <v>43708</v>
      </c>
      <c r="ES67" s="16"/>
      <c r="ET67" s="7">
        <v>1906.7</v>
      </c>
      <c r="EU67" s="7"/>
      <c r="EV67" s="7"/>
      <c r="EW67" s="7"/>
      <c r="EX67" s="7"/>
      <c r="EY67" s="17">
        <f t="shared" si="16"/>
        <v>1906.7</v>
      </c>
      <c r="EZ67" s="18">
        <f t="shared" si="50"/>
        <v>96.00999999999999</v>
      </c>
      <c r="FA67" s="19">
        <f t="shared" si="51"/>
        <v>10.936071307359825</v>
      </c>
      <c r="FB67" s="15">
        <f t="shared" si="52"/>
        <v>106.94607130735982</v>
      </c>
      <c r="FC67" s="11">
        <f t="shared" si="53"/>
        <v>310.1436067913435</v>
      </c>
      <c r="FD67" s="21">
        <f t="shared" si="54"/>
        <v>122.22041743700248</v>
      </c>
      <c r="FE67" s="22">
        <v>1</v>
      </c>
      <c r="FF67" s="7" t="s">
        <v>39</v>
      </c>
      <c r="FG67" s="7">
        <v>14</v>
      </c>
      <c r="FH67" s="7" t="s">
        <v>61</v>
      </c>
      <c r="FI67" s="7" t="s">
        <v>16</v>
      </c>
      <c r="FJ67" s="8">
        <v>43735</v>
      </c>
      <c r="FK67" s="16"/>
      <c r="FL67" s="7">
        <v>2055.41</v>
      </c>
      <c r="FM67" s="7"/>
      <c r="FN67" s="7"/>
      <c r="FO67" s="7"/>
      <c r="FP67" s="7"/>
      <c r="FQ67" s="17">
        <v>2055.41</v>
      </c>
      <c r="FR67" s="18">
        <f t="shared" si="55"/>
        <v>148.7099999999998</v>
      </c>
      <c r="FS67" s="19">
        <f t="shared" si="56"/>
        <v>1.1127218302080635</v>
      </c>
      <c r="FT67" s="15">
        <f t="shared" si="57"/>
        <v>149.82272183020788</v>
      </c>
      <c r="FU67" s="11">
        <f t="shared" si="58"/>
        <v>434.48589330760285</v>
      </c>
      <c r="FV67" s="128">
        <f t="shared" si="17"/>
        <v>-32.99393387059268</v>
      </c>
      <c r="FW67" s="13">
        <f t="shared" si="59"/>
        <v>401.49195943701017</v>
      </c>
      <c r="FX67" s="21">
        <f t="shared" si="60"/>
        <v>523.7123768740126</v>
      </c>
      <c r="FY67" s="22">
        <v>1</v>
      </c>
      <c r="FZ67" s="7" t="s">
        <v>39</v>
      </c>
      <c r="GA67" s="134">
        <v>14</v>
      </c>
      <c r="GB67" s="135" t="s">
        <v>61</v>
      </c>
      <c r="GC67" s="135" t="s">
        <v>16</v>
      </c>
      <c r="GD67" s="136">
        <v>43771</v>
      </c>
      <c r="GE67" s="138">
        <v>1000</v>
      </c>
      <c r="GF67" s="139">
        <v>2088.45</v>
      </c>
      <c r="GG67" s="3"/>
      <c r="GH67" s="3"/>
      <c r="GI67" s="3"/>
      <c r="GJ67" s="3"/>
      <c r="GK67" s="32">
        <f t="shared" si="18"/>
        <v>2088.45</v>
      </c>
      <c r="GL67" s="18">
        <f t="shared" si="61"/>
        <v>33.039999999999964</v>
      </c>
      <c r="GM67" s="19">
        <f t="shared" si="62"/>
        <v>-3.822824002770815</v>
      </c>
      <c r="GN67" s="15">
        <f t="shared" si="63"/>
        <v>29.21717599722915</v>
      </c>
      <c r="GO67" s="11">
        <f t="shared" si="64"/>
        <v>84.72981039196453</v>
      </c>
      <c r="GP67" s="7">
        <f t="shared" si="19"/>
        <v>-12.511212150242052</v>
      </c>
      <c r="GQ67" s="13">
        <f t="shared" si="65"/>
        <v>72.21859824172247</v>
      </c>
      <c r="GR67" s="46">
        <f t="shared" si="66"/>
        <v>-404.0690248842649</v>
      </c>
      <c r="GS67" s="22">
        <v>1</v>
      </c>
      <c r="GT67" s="7" t="s">
        <v>39</v>
      </c>
      <c r="GU67" s="148">
        <v>14</v>
      </c>
      <c r="GV67" s="148" t="s">
        <v>61</v>
      </c>
      <c r="GW67" s="148" t="s">
        <v>16</v>
      </c>
      <c r="GX67" s="155">
        <v>43797</v>
      </c>
      <c r="GY67" s="156"/>
      <c r="GZ67" s="148">
        <v>2103.39</v>
      </c>
      <c r="HA67" s="157"/>
      <c r="HB67" s="157"/>
      <c r="HC67" s="157"/>
      <c r="HD67" s="157"/>
      <c r="HE67" s="158">
        <f t="shared" si="20"/>
        <v>2103.39</v>
      </c>
      <c r="HF67" s="18">
        <f t="shared" si="67"/>
        <v>14.940000000000055</v>
      </c>
      <c r="HG67" s="19">
        <f t="shared" si="68"/>
        <v>3.661802854837856</v>
      </c>
      <c r="HH67" s="15">
        <f t="shared" si="69"/>
        <v>18.60180285483791</v>
      </c>
      <c r="HI67" s="11">
        <f t="shared" si="70"/>
        <v>53.94522827902994</v>
      </c>
      <c r="HJ67" s="7">
        <f t="shared" si="71"/>
        <v>-6.827620904984894</v>
      </c>
      <c r="HK67" s="13">
        <f t="shared" si="72"/>
        <v>47.11760737404505</v>
      </c>
      <c r="HL67" s="46">
        <f t="shared" si="73"/>
        <v>-356.9514175102198</v>
      </c>
      <c r="HM67" s="22">
        <v>1</v>
      </c>
      <c r="HN67" s="7" t="s">
        <v>39</v>
      </c>
      <c r="HO67" s="12">
        <v>14</v>
      </c>
      <c r="HP67" s="7" t="s">
        <v>61</v>
      </c>
      <c r="HQ67" s="7" t="s">
        <v>16</v>
      </c>
      <c r="HR67" s="8">
        <v>43830</v>
      </c>
      <c r="HS67" s="171"/>
      <c r="HT67" s="7">
        <v>2116.41</v>
      </c>
      <c r="HU67" s="7"/>
      <c r="HV67" s="7"/>
      <c r="HW67" s="7"/>
      <c r="HX67" s="7"/>
      <c r="HY67" s="17">
        <v>2116.41</v>
      </c>
      <c r="HZ67" s="18">
        <f t="shared" si="74"/>
        <v>13.019999999999982</v>
      </c>
      <c r="IA67" s="19">
        <f t="shared" si="75"/>
        <v>1.562399999999999</v>
      </c>
      <c r="IB67" s="20">
        <f t="shared" si="76"/>
        <v>14.58239999999998</v>
      </c>
      <c r="IC67" s="11">
        <f t="shared" si="77"/>
        <v>42.28895999999994</v>
      </c>
      <c r="ID67" s="7">
        <f t="shared" si="78"/>
        <v>-4.301719920580436</v>
      </c>
      <c r="IE67" s="13">
        <f t="shared" si="79"/>
        <v>37.9872400794195</v>
      </c>
      <c r="IF67" s="46">
        <f t="shared" si="80"/>
        <v>-318.9641774308003</v>
      </c>
      <c r="IG67" s="22">
        <v>1</v>
      </c>
      <c r="IH67" s="7" t="s">
        <v>39</v>
      </c>
    </row>
    <row r="68" spans="1:242" ht="19.5" customHeight="1">
      <c r="A68" s="10">
        <v>15</v>
      </c>
      <c r="B68" s="6" t="s">
        <v>62</v>
      </c>
      <c r="C68" s="6" t="s">
        <v>48</v>
      </c>
      <c r="D68" s="5">
        <v>43100</v>
      </c>
      <c r="F68" s="6">
        <v>9773.33</v>
      </c>
      <c r="H68" s="6">
        <v>9773.33</v>
      </c>
      <c r="J68" s="6">
        <v>381.4599999999991</v>
      </c>
      <c r="K68" s="6">
        <v>-54.751744844261836</v>
      </c>
      <c r="L68" s="6">
        <v>326.7082551557373</v>
      </c>
      <c r="M68" s="6">
        <v>865.7768761627037</v>
      </c>
      <c r="N68" s="6">
        <v>-4032.9695655244486</v>
      </c>
      <c r="O68" s="10">
        <v>1</v>
      </c>
      <c r="P68" s="6" t="s">
        <v>39</v>
      </c>
      <c r="Q68" s="1">
        <v>15</v>
      </c>
      <c r="R68" s="56" t="s">
        <v>62</v>
      </c>
      <c r="S68" s="54">
        <v>14120.52</v>
      </c>
      <c r="T68" s="55">
        <v>-4297.323241866836</v>
      </c>
      <c r="U68" s="2" t="s">
        <v>48</v>
      </c>
      <c r="V68" s="30">
        <v>43496</v>
      </c>
      <c r="W68" s="37"/>
      <c r="X68" s="31">
        <v>14524.77</v>
      </c>
      <c r="Y68" s="31"/>
      <c r="Z68" s="31"/>
      <c r="AA68" s="31"/>
      <c r="AB68" s="31">
        <v>888.7200000000004</v>
      </c>
      <c r="AC68" s="57">
        <f t="shared" si="6"/>
        <v>14524.77</v>
      </c>
      <c r="AD68" s="34">
        <f t="shared" si="7"/>
        <v>404.25</v>
      </c>
      <c r="AE68" s="38">
        <f t="shared" si="8"/>
        <v>54.44953470883981</v>
      </c>
      <c r="AF68" s="39">
        <f t="shared" si="9"/>
        <v>458.6995347088398</v>
      </c>
      <c r="AG68" s="4">
        <f t="shared" si="21"/>
        <v>1270.5977111434863</v>
      </c>
      <c r="AH68" s="40">
        <f t="shared" si="10"/>
        <v>-3026.7255307233495</v>
      </c>
      <c r="AI68" s="41">
        <v>2</v>
      </c>
      <c r="AJ68" s="36" t="s">
        <v>39</v>
      </c>
      <c r="AK68" s="1">
        <v>15</v>
      </c>
      <c r="AL68" s="2" t="s">
        <v>62</v>
      </c>
      <c r="AM68" s="2" t="s">
        <v>48</v>
      </c>
      <c r="AN68" s="72">
        <v>43521</v>
      </c>
      <c r="AO68" s="73"/>
      <c r="AP68" s="74">
        <v>15032.29</v>
      </c>
      <c r="AQ68" s="74"/>
      <c r="AR68" s="74"/>
      <c r="AS68" s="74"/>
      <c r="AT68" s="74">
        <v>888.7200000000004</v>
      </c>
      <c r="AU68" s="79">
        <f t="shared" si="11"/>
        <v>15032.29</v>
      </c>
      <c r="AV68" s="81">
        <f t="shared" si="12"/>
        <v>507.52000000000044</v>
      </c>
      <c r="AW68" s="80">
        <f t="shared" si="13"/>
        <v>263.6097534191793</v>
      </c>
      <c r="AX68" s="85">
        <f t="shared" si="22"/>
        <v>771.1297534191797</v>
      </c>
      <c r="AY68" s="91">
        <f t="shared" si="23"/>
        <v>2172.979746399059</v>
      </c>
      <c r="AZ68" s="88">
        <f t="shared" si="24"/>
        <v>-853.7457843242905</v>
      </c>
      <c r="BA68" s="22">
        <v>2</v>
      </c>
      <c r="BB68" s="7" t="s">
        <v>39</v>
      </c>
      <c r="BC68" s="12">
        <v>15</v>
      </c>
      <c r="BD68" s="7" t="s">
        <v>62</v>
      </c>
      <c r="BE68" s="7" t="s">
        <v>48</v>
      </c>
      <c r="BF68" s="8">
        <v>43555</v>
      </c>
      <c r="BG68" s="16"/>
      <c r="BH68" s="7">
        <v>15260.58</v>
      </c>
      <c r="BI68" s="7"/>
      <c r="BJ68" s="7"/>
      <c r="BK68" s="7"/>
      <c r="BL68" s="7">
        <v>888.7200000000004</v>
      </c>
      <c r="BM68" s="17">
        <f t="shared" si="14"/>
        <v>15260.58</v>
      </c>
      <c r="BN68" s="18">
        <f t="shared" si="25"/>
        <v>228.28999999999905</v>
      </c>
      <c r="BO68" s="19">
        <f t="shared" si="26"/>
        <v>-67.66557514520936</v>
      </c>
      <c r="BP68" s="15">
        <f t="shared" si="27"/>
        <v>160.6244248547897</v>
      </c>
      <c r="BQ68" s="11">
        <f t="shared" si="28"/>
        <v>452.960878090507</v>
      </c>
      <c r="BR68" s="46">
        <f t="shared" si="29"/>
        <v>-400.78490623378354</v>
      </c>
      <c r="BS68" s="22">
        <v>2</v>
      </c>
      <c r="BT68" s="7" t="s">
        <v>39</v>
      </c>
      <c r="BU68" s="12">
        <v>15</v>
      </c>
      <c r="BV68" s="7" t="s">
        <v>62</v>
      </c>
      <c r="BW68" s="7" t="s">
        <v>48</v>
      </c>
      <c r="BX68" s="8">
        <v>43585</v>
      </c>
      <c r="BY68" s="16"/>
      <c r="BZ68" s="7">
        <v>15446.52</v>
      </c>
      <c r="CA68" s="7"/>
      <c r="CB68" s="7"/>
      <c r="CC68" s="7"/>
      <c r="CD68" s="7">
        <v>888.7200000000004</v>
      </c>
      <c r="CE68" s="17">
        <v>15446.52</v>
      </c>
      <c r="CF68" s="18">
        <f t="shared" si="30"/>
        <v>185.9400000000005</v>
      </c>
      <c r="CG68" s="19">
        <f t="shared" si="31"/>
        <v>9.985864749872585</v>
      </c>
      <c r="CH68" s="20">
        <f t="shared" si="32"/>
        <v>195.92586474987309</v>
      </c>
      <c r="CI68" s="11">
        <f t="shared" si="33"/>
        <v>552.5109385946421</v>
      </c>
      <c r="CJ68" s="46">
        <f t="shared" si="34"/>
        <v>151.72603236085854</v>
      </c>
      <c r="CK68" s="22">
        <v>2</v>
      </c>
      <c r="CL68" s="7" t="s">
        <v>39</v>
      </c>
      <c r="CM68" s="12">
        <v>15</v>
      </c>
      <c r="CN68" s="7" t="s">
        <v>62</v>
      </c>
      <c r="CO68" s="7" t="s">
        <v>48</v>
      </c>
      <c r="CP68" s="8">
        <v>43615</v>
      </c>
      <c r="CQ68" s="16">
        <v>2000</v>
      </c>
      <c r="CR68" s="7">
        <v>15862.130000000001</v>
      </c>
      <c r="CS68" s="7"/>
      <c r="CT68" s="7"/>
      <c r="CU68" s="7"/>
      <c r="CV68" s="7">
        <v>888.7200000000004</v>
      </c>
      <c r="CW68" s="17">
        <v>15862.130000000001</v>
      </c>
      <c r="CX68" s="18">
        <f t="shared" si="35"/>
        <v>415.6100000000006</v>
      </c>
      <c r="CY68" s="19">
        <f t="shared" si="36"/>
        <v>179.01726946082476</v>
      </c>
      <c r="CZ68" s="15">
        <f t="shared" si="37"/>
        <v>594.6272694608253</v>
      </c>
      <c r="DA68" s="11">
        <f t="shared" si="38"/>
        <v>1676.8488998795274</v>
      </c>
      <c r="DB68" s="46">
        <f t="shared" si="39"/>
        <v>-171.4250677596142</v>
      </c>
      <c r="DC68" s="22">
        <v>2</v>
      </c>
      <c r="DD68" s="7" t="s">
        <v>39</v>
      </c>
      <c r="DE68" s="1">
        <v>15</v>
      </c>
      <c r="DF68" s="2" t="s">
        <v>62</v>
      </c>
      <c r="DG68" s="2" t="s">
        <v>48</v>
      </c>
      <c r="DH68" s="30">
        <v>43646</v>
      </c>
      <c r="DI68" s="37"/>
      <c r="DJ68" s="31">
        <v>15997.53</v>
      </c>
      <c r="DK68" s="58"/>
      <c r="DL68" s="58"/>
      <c r="DM68" s="58"/>
      <c r="DN68" s="35">
        <v>888.7200000000004</v>
      </c>
      <c r="DO68" s="57">
        <f t="shared" si="15"/>
        <v>15997.53</v>
      </c>
      <c r="DP68" s="18">
        <f t="shared" si="40"/>
        <v>135.39999999999964</v>
      </c>
      <c r="DQ68" s="19">
        <f t="shared" si="41"/>
        <v>-2.5008953512787633</v>
      </c>
      <c r="DR68" s="15">
        <f t="shared" si="42"/>
        <v>132.89910464872088</v>
      </c>
      <c r="DS68" s="11">
        <f t="shared" si="43"/>
        <v>374.77547510939286</v>
      </c>
      <c r="DT68" s="46">
        <f t="shared" si="44"/>
        <v>203.35040734977866</v>
      </c>
      <c r="DU68" s="22">
        <v>2</v>
      </c>
      <c r="DV68" s="7" t="s">
        <v>39</v>
      </c>
      <c r="DW68" s="12">
        <v>15</v>
      </c>
      <c r="DX68" s="7" t="s">
        <v>62</v>
      </c>
      <c r="DY68" s="7" t="s">
        <v>48</v>
      </c>
      <c r="DZ68" s="8">
        <v>43677</v>
      </c>
      <c r="EA68" s="16">
        <v>2000</v>
      </c>
      <c r="EB68" s="7">
        <v>16128.5</v>
      </c>
      <c r="EC68" s="7"/>
      <c r="ED68" s="7"/>
      <c r="EE68" s="7"/>
      <c r="EF68" s="7">
        <v>888.7200000000004</v>
      </c>
      <c r="EG68" s="17">
        <v>16128.5</v>
      </c>
      <c r="EH68" s="18">
        <f t="shared" si="45"/>
        <v>130.96999999999935</v>
      </c>
      <c r="EI68" s="19">
        <f t="shared" si="46"/>
        <v>22.6233025395411</v>
      </c>
      <c r="EJ68" s="15">
        <f t="shared" si="47"/>
        <v>153.59330253954045</v>
      </c>
      <c r="EK68" s="11">
        <f t="shared" si="48"/>
        <v>445.4205773646673</v>
      </c>
      <c r="EL68" s="125">
        <f t="shared" si="49"/>
        <v>-1351.2290152855542</v>
      </c>
      <c r="EM68" s="22">
        <v>2</v>
      </c>
      <c r="EN68" s="7" t="s">
        <v>39</v>
      </c>
      <c r="EO68" s="12">
        <v>15</v>
      </c>
      <c r="EP68" s="7" t="s">
        <v>62</v>
      </c>
      <c r="EQ68" s="7" t="s">
        <v>48</v>
      </c>
      <c r="ER68" s="8">
        <v>43708</v>
      </c>
      <c r="ES68" s="16"/>
      <c r="ET68" s="7">
        <v>16269.300000000001</v>
      </c>
      <c r="EU68" s="7"/>
      <c r="EV68" s="7"/>
      <c r="EW68" s="7"/>
      <c r="EX68" s="7">
        <v>888.7200000000004</v>
      </c>
      <c r="EY68" s="17">
        <f t="shared" si="16"/>
        <v>16269.300000000001</v>
      </c>
      <c r="EZ68" s="18">
        <f t="shared" si="50"/>
        <v>140.8000000000011</v>
      </c>
      <c r="FA68" s="19">
        <f t="shared" si="51"/>
        <v>16.037900636144936</v>
      </c>
      <c r="FB68" s="15">
        <f t="shared" si="52"/>
        <v>156.83790063614603</v>
      </c>
      <c r="FC68" s="11">
        <f t="shared" si="53"/>
        <v>454.82991184482347</v>
      </c>
      <c r="FD68" s="21">
        <f t="shared" si="54"/>
        <v>-896.3991034407306</v>
      </c>
      <c r="FE68" s="22">
        <v>2</v>
      </c>
      <c r="FF68" s="7" t="s">
        <v>39</v>
      </c>
      <c r="FG68" s="7">
        <v>15</v>
      </c>
      <c r="FH68" s="7" t="s">
        <v>62</v>
      </c>
      <c r="FI68" s="7" t="s">
        <v>48</v>
      </c>
      <c r="FJ68" s="8">
        <v>43736</v>
      </c>
      <c r="FK68" s="16">
        <v>8000</v>
      </c>
      <c r="FL68" s="7">
        <v>16400.66</v>
      </c>
      <c r="FM68" s="7"/>
      <c r="FN68" s="7"/>
      <c r="FO68" s="7"/>
      <c r="FP68" s="7">
        <v>888.7200000000004</v>
      </c>
      <c r="FQ68" s="17">
        <v>16400.66</v>
      </c>
      <c r="FR68" s="18">
        <f t="shared" si="55"/>
        <v>131.35999999999876</v>
      </c>
      <c r="FS68" s="19">
        <f t="shared" si="56"/>
        <v>0.9829005421029523</v>
      </c>
      <c r="FT68" s="15">
        <f t="shared" si="57"/>
        <v>132.34290054210172</v>
      </c>
      <c r="FU68" s="11">
        <f t="shared" si="58"/>
        <v>383.794411572095</v>
      </c>
      <c r="FV68" s="128">
        <f t="shared" si="17"/>
        <v>-29.144530651879627</v>
      </c>
      <c r="FW68" s="13">
        <f t="shared" si="59"/>
        <v>354.64988092021537</v>
      </c>
      <c r="FX68" s="21">
        <f t="shared" si="60"/>
        <v>-8541.749222520515</v>
      </c>
      <c r="FY68" s="22">
        <v>2</v>
      </c>
      <c r="FZ68" s="7" t="s">
        <v>39</v>
      </c>
      <c r="GA68" s="134">
        <v>15</v>
      </c>
      <c r="GB68" s="135" t="s">
        <v>62</v>
      </c>
      <c r="GC68" s="135" t="s">
        <v>48</v>
      </c>
      <c r="GD68" s="136">
        <v>43771</v>
      </c>
      <c r="GE68" s="138"/>
      <c r="GF68" s="139">
        <v>16584.25</v>
      </c>
      <c r="GG68" s="3"/>
      <c r="GH68" s="3"/>
      <c r="GI68" s="3"/>
      <c r="GJ68" s="3">
        <v>888.7200000000004</v>
      </c>
      <c r="GK68" s="32">
        <f t="shared" si="18"/>
        <v>16584.25</v>
      </c>
      <c r="GL68" s="18">
        <f t="shared" si="61"/>
        <v>183.59000000000015</v>
      </c>
      <c r="GM68" s="19">
        <f t="shared" si="62"/>
        <v>-21.241896448810387</v>
      </c>
      <c r="GN68" s="15">
        <f t="shared" si="63"/>
        <v>162.34810355118975</v>
      </c>
      <c r="GO68" s="11">
        <f t="shared" si="64"/>
        <v>470.80950029845025</v>
      </c>
      <c r="GP68" s="7">
        <f t="shared" si="19"/>
        <v>-69.5197771992416</v>
      </c>
      <c r="GQ68" s="13">
        <f t="shared" si="65"/>
        <v>401.28972309920863</v>
      </c>
      <c r="GR68" s="46">
        <f t="shared" si="66"/>
        <v>-8140.459499421307</v>
      </c>
      <c r="GS68" s="22">
        <v>2</v>
      </c>
      <c r="GT68" s="7" t="s">
        <v>39</v>
      </c>
      <c r="GU68" s="148">
        <v>15</v>
      </c>
      <c r="GV68" s="148" t="s">
        <v>62</v>
      </c>
      <c r="GW68" s="148" t="s">
        <v>48</v>
      </c>
      <c r="GX68" s="155">
        <v>43799</v>
      </c>
      <c r="GY68" s="156"/>
      <c r="GZ68" s="148">
        <v>16828.760000000002</v>
      </c>
      <c r="HA68" s="157"/>
      <c r="HB68" s="157"/>
      <c r="HC68" s="157"/>
      <c r="HD68" s="157">
        <v>888.7200000000004</v>
      </c>
      <c r="HE68" s="158">
        <f t="shared" si="20"/>
        <v>16828.760000000002</v>
      </c>
      <c r="HF68" s="18">
        <f t="shared" si="67"/>
        <v>244.51000000000204</v>
      </c>
      <c r="HG68" s="19">
        <f t="shared" si="68"/>
        <v>59.929545919438304</v>
      </c>
      <c r="HH68" s="15">
        <f t="shared" si="69"/>
        <v>304.4395459194403</v>
      </c>
      <c r="HI68" s="11">
        <f t="shared" si="70"/>
        <v>882.8746831663769</v>
      </c>
      <c r="HJ68" s="7">
        <f t="shared" si="71"/>
        <v>-111.74173945634968</v>
      </c>
      <c r="HK68" s="13">
        <f t="shared" si="72"/>
        <v>771.1329437100272</v>
      </c>
      <c r="HL68" s="46">
        <f t="shared" si="73"/>
        <v>-7369.326555711279</v>
      </c>
      <c r="HM68" s="22">
        <v>2</v>
      </c>
      <c r="HN68" s="7" t="s">
        <v>39</v>
      </c>
      <c r="HO68" s="12">
        <v>15</v>
      </c>
      <c r="HP68" s="7" t="s">
        <v>62</v>
      </c>
      <c r="HQ68" s="7" t="s">
        <v>48</v>
      </c>
      <c r="HR68" s="8">
        <v>43830</v>
      </c>
      <c r="HS68" s="171"/>
      <c r="HT68" s="7">
        <v>17086.6</v>
      </c>
      <c r="HU68" s="7"/>
      <c r="HV68" s="7"/>
      <c r="HW68" s="7"/>
      <c r="HX68" s="7">
        <v>888.7200000000004</v>
      </c>
      <c r="HY68" s="17">
        <v>17086.6</v>
      </c>
      <c r="HZ68" s="18">
        <f t="shared" si="74"/>
        <v>257.8399999999965</v>
      </c>
      <c r="IA68" s="19">
        <f t="shared" si="75"/>
        <v>30.9407999999996</v>
      </c>
      <c r="IB68" s="20">
        <f t="shared" si="76"/>
        <v>288.78079999999613</v>
      </c>
      <c r="IC68" s="11">
        <f t="shared" si="77"/>
        <v>837.4643199999888</v>
      </c>
      <c r="ID68" s="7">
        <f t="shared" si="78"/>
        <v>-85.18859172983458</v>
      </c>
      <c r="IE68" s="13">
        <f t="shared" si="79"/>
        <v>752.2757282701542</v>
      </c>
      <c r="IF68" s="46">
        <f t="shared" si="80"/>
        <v>-6617.050827441125</v>
      </c>
      <c r="IG68" s="22">
        <v>2</v>
      </c>
      <c r="IH68" s="7" t="s">
        <v>39</v>
      </c>
    </row>
    <row r="69" spans="1:242" ht="37.5" customHeight="1">
      <c r="A69" s="10">
        <v>16</v>
      </c>
      <c r="B69" s="6" t="s">
        <v>63</v>
      </c>
      <c r="C69" s="6" t="s">
        <v>36</v>
      </c>
      <c r="D69" s="5">
        <v>43100</v>
      </c>
      <c r="F69" s="6">
        <v>765.6</v>
      </c>
      <c r="H69" s="6">
        <v>765.6</v>
      </c>
      <c r="J69" s="6">
        <v>76.95000000000005</v>
      </c>
      <c r="K69" s="6">
        <v>-11.044793073365387</v>
      </c>
      <c r="L69" s="6">
        <v>65.90520692663466</v>
      </c>
      <c r="M69" s="6">
        <v>174.64879835558185</v>
      </c>
      <c r="N69" s="6">
        <v>615.3109958266484</v>
      </c>
      <c r="O69" s="10">
        <v>1</v>
      </c>
      <c r="P69" s="6" t="s">
        <v>39</v>
      </c>
      <c r="Q69" s="1">
        <v>16</v>
      </c>
      <c r="R69" s="56" t="s">
        <v>63</v>
      </c>
      <c r="S69" s="54">
        <v>1478.5800000000002</v>
      </c>
      <c r="T69" s="55">
        <v>-91.11925442468811</v>
      </c>
      <c r="U69" s="2" t="s">
        <v>100</v>
      </c>
      <c r="V69" s="30">
        <v>43496</v>
      </c>
      <c r="W69" s="37"/>
      <c r="X69" s="31">
        <v>660.15</v>
      </c>
      <c r="Y69" s="49"/>
      <c r="Z69" s="49"/>
      <c r="AA69" s="49">
        <f>20.2+1047.66</f>
        <v>1067.8600000000001</v>
      </c>
      <c r="AB69" s="58"/>
      <c r="AC69" s="57">
        <f t="shared" si="6"/>
        <v>1728.0100000000002</v>
      </c>
      <c r="AD69" s="34">
        <f t="shared" si="7"/>
        <v>249.43000000000006</v>
      </c>
      <c r="AE69" s="38">
        <f t="shared" si="8"/>
        <v>33.59640678398495</v>
      </c>
      <c r="AF69" s="39">
        <f t="shared" si="9"/>
        <v>283.026406783985</v>
      </c>
      <c r="AG69" s="4">
        <f t="shared" si="21"/>
        <v>783.9831467916384</v>
      </c>
      <c r="AH69" s="40">
        <f t="shared" si="10"/>
        <v>692.8638923669503</v>
      </c>
      <c r="AI69" s="41">
        <v>2</v>
      </c>
      <c r="AJ69" s="36" t="s">
        <v>39</v>
      </c>
      <c r="AK69" s="1">
        <v>16</v>
      </c>
      <c r="AL69" s="2" t="s">
        <v>63</v>
      </c>
      <c r="AM69" s="2" t="s">
        <v>100</v>
      </c>
      <c r="AN69" s="75">
        <v>43505</v>
      </c>
      <c r="AO69" s="73"/>
      <c r="AP69" s="76">
        <v>663.95</v>
      </c>
      <c r="AQ69" s="76">
        <v>35.57</v>
      </c>
      <c r="AR69" s="77"/>
      <c r="AS69" s="77">
        <f>20.2+1047.66</f>
        <v>1067.8600000000001</v>
      </c>
      <c r="AT69" s="78"/>
      <c r="AU69" s="79">
        <f t="shared" si="11"/>
        <v>1767.38</v>
      </c>
      <c r="AV69" s="81">
        <f t="shared" si="12"/>
        <v>39.36999999999989</v>
      </c>
      <c r="AW69" s="80">
        <f t="shared" si="13"/>
        <v>20.449077853312286</v>
      </c>
      <c r="AX69" s="85">
        <f t="shared" si="22"/>
        <v>59.81907785331218</v>
      </c>
      <c r="AY69" s="91">
        <f t="shared" si="23"/>
        <v>168.56520455495476</v>
      </c>
      <c r="AZ69" s="88">
        <f t="shared" si="24"/>
        <v>861.429096921905</v>
      </c>
      <c r="BA69" s="22" t="s">
        <v>40</v>
      </c>
      <c r="BB69" s="7" t="s">
        <v>41</v>
      </c>
      <c r="BC69" s="12">
        <v>16</v>
      </c>
      <c r="BD69" s="20" t="s">
        <v>127</v>
      </c>
      <c r="BE69" s="7" t="s">
        <v>13</v>
      </c>
      <c r="BF69" s="8">
        <v>43555</v>
      </c>
      <c r="BG69" s="16">
        <v>1000</v>
      </c>
      <c r="BH69" s="7">
        <v>764.26</v>
      </c>
      <c r="BI69" s="19">
        <f>35.57+35.46</f>
        <v>71.03</v>
      </c>
      <c r="BJ69" s="20">
        <f>663.95-691.36</f>
        <v>-27.409999999999968</v>
      </c>
      <c r="BK69" s="7">
        <f>20.2+1047.66</f>
        <v>1067.8600000000001</v>
      </c>
      <c r="BL69" s="7"/>
      <c r="BM69" s="17">
        <f t="shared" si="14"/>
        <v>1875.7400000000002</v>
      </c>
      <c r="BN69" s="18">
        <f t="shared" si="25"/>
        <v>108.36000000000013</v>
      </c>
      <c r="BO69" s="19">
        <f t="shared" si="26"/>
        <v>-32.11810295122399</v>
      </c>
      <c r="BP69" s="15">
        <f t="shared" si="27"/>
        <v>76.24189704877614</v>
      </c>
      <c r="BQ69" s="11">
        <f t="shared" si="28"/>
        <v>215.0021496775487</v>
      </c>
      <c r="BR69" s="46">
        <f t="shared" si="29"/>
        <v>76.43124659945374</v>
      </c>
      <c r="BS69" s="22" t="s">
        <v>132</v>
      </c>
      <c r="BT69" s="7" t="s">
        <v>133</v>
      </c>
      <c r="BU69" s="12">
        <v>16</v>
      </c>
      <c r="BV69" s="7" t="s">
        <v>63</v>
      </c>
      <c r="BW69" s="7" t="s">
        <v>13</v>
      </c>
      <c r="BX69" s="8">
        <v>43585</v>
      </c>
      <c r="BY69" s="16"/>
      <c r="BZ69" s="7">
        <v>826.14</v>
      </c>
      <c r="CA69" s="7">
        <v>71.03</v>
      </c>
      <c r="CB69" s="7">
        <v>-27.409999999999968</v>
      </c>
      <c r="CC69" s="7">
        <v>1067.8600000000001</v>
      </c>
      <c r="CD69" s="7"/>
      <c r="CE69" s="17">
        <v>1937.6200000000001</v>
      </c>
      <c r="CF69" s="18">
        <f t="shared" si="30"/>
        <v>61.87999999999988</v>
      </c>
      <c r="CG69" s="19">
        <f t="shared" si="31"/>
        <v>3.3232511063897636</v>
      </c>
      <c r="CH69" s="20">
        <f t="shared" si="32"/>
        <v>65.20325110638964</v>
      </c>
      <c r="CI69" s="11">
        <f t="shared" si="33"/>
        <v>183.8731681200188</v>
      </c>
      <c r="CJ69" s="46">
        <f t="shared" si="34"/>
        <v>260.30441471947256</v>
      </c>
      <c r="CK69" s="22">
        <v>2</v>
      </c>
      <c r="CL69" s="7" t="s">
        <v>39</v>
      </c>
      <c r="CM69" s="12">
        <v>16</v>
      </c>
      <c r="CN69" s="7" t="s">
        <v>63</v>
      </c>
      <c r="CO69" s="7" t="s">
        <v>13</v>
      </c>
      <c r="CP69" s="8">
        <v>43586</v>
      </c>
      <c r="CQ69" s="16">
        <v>500</v>
      </c>
      <c r="CR69" s="7">
        <v>826.14</v>
      </c>
      <c r="CS69" s="7">
        <v>71.03</v>
      </c>
      <c r="CT69" s="7">
        <v>-27.409999999999968</v>
      </c>
      <c r="CU69" s="7">
        <v>1067.8600000000001</v>
      </c>
      <c r="CV69" s="7"/>
      <c r="CW69" s="17">
        <v>1937.6200000000001</v>
      </c>
      <c r="CX69" s="18">
        <f t="shared" si="35"/>
        <v>0</v>
      </c>
      <c r="CY69" s="19">
        <f t="shared" si="36"/>
        <v>0</v>
      </c>
      <c r="CZ69" s="15">
        <f t="shared" si="37"/>
        <v>0</v>
      </c>
      <c r="DA69" s="11">
        <f t="shared" si="38"/>
        <v>0</v>
      </c>
      <c r="DB69" s="46">
        <f t="shared" si="39"/>
        <v>-239.69558528052744</v>
      </c>
      <c r="DC69" s="22">
        <v>2</v>
      </c>
      <c r="DD69" s="7" t="s">
        <v>39</v>
      </c>
      <c r="DE69" s="1">
        <v>16</v>
      </c>
      <c r="DF69" s="2" t="s">
        <v>63</v>
      </c>
      <c r="DG69" s="2" t="s">
        <v>13</v>
      </c>
      <c r="DH69" s="30">
        <v>43642</v>
      </c>
      <c r="DI69" s="37"/>
      <c r="DJ69" s="31">
        <v>927.37</v>
      </c>
      <c r="DK69" s="58">
        <f>35.57+35.46</f>
        <v>71.03</v>
      </c>
      <c r="DL69" s="58">
        <f>663.95-691.36</f>
        <v>-27.409999999999968</v>
      </c>
      <c r="DM69" s="58">
        <f>20.2+1047.66</f>
        <v>1067.8600000000001</v>
      </c>
      <c r="DN69" s="35"/>
      <c r="DO69" s="57">
        <f t="shared" si="15"/>
        <v>2038.8500000000001</v>
      </c>
      <c r="DP69" s="18">
        <f t="shared" si="40"/>
        <v>101.23000000000002</v>
      </c>
      <c r="DQ69" s="19">
        <f t="shared" si="41"/>
        <v>-1.8697609779169122</v>
      </c>
      <c r="DR69" s="15">
        <f t="shared" si="42"/>
        <v>99.3602390220831</v>
      </c>
      <c r="DS69" s="11">
        <f t="shared" si="43"/>
        <v>280.19587404227434</v>
      </c>
      <c r="DT69" s="46">
        <f t="shared" si="44"/>
        <v>40.5002887617469</v>
      </c>
      <c r="DU69" s="22">
        <v>2</v>
      </c>
      <c r="DV69" s="7" t="s">
        <v>39</v>
      </c>
      <c r="DW69" s="12">
        <v>16</v>
      </c>
      <c r="DX69" s="7" t="s">
        <v>63</v>
      </c>
      <c r="DY69" s="7" t="s">
        <v>13</v>
      </c>
      <c r="DZ69" s="8">
        <v>43642</v>
      </c>
      <c r="EA69" s="16"/>
      <c r="EB69" s="7">
        <v>927.37</v>
      </c>
      <c r="EC69" s="7">
        <v>71.03</v>
      </c>
      <c r="ED69" s="7">
        <v>-27.409999999999968</v>
      </c>
      <c r="EE69" s="7">
        <v>1067.8600000000001</v>
      </c>
      <c r="EF69" s="7"/>
      <c r="EG69" s="17">
        <v>2038.8500000000001</v>
      </c>
      <c r="EH69" s="18">
        <f t="shared" si="45"/>
        <v>0</v>
      </c>
      <c r="EI69" s="19">
        <f t="shared" si="46"/>
        <v>0</v>
      </c>
      <c r="EJ69" s="15">
        <f t="shared" si="47"/>
        <v>0</v>
      </c>
      <c r="EK69" s="11">
        <f t="shared" si="48"/>
        <v>0</v>
      </c>
      <c r="EL69" s="125">
        <f t="shared" si="49"/>
        <v>40.5002887617469</v>
      </c>
      <c r="EM69" s="22">
        <v>2</v>
      </c>
      <c r="EN69" s="7" t="s">
        <v>39</v>
      </c>
      <c r="EO69" s="12">
        <v>16</v>
      </c>
      <c r="EP69" s="7" t="s">
        <v>63</v>
      </c>
      <c r="EQ69" s="7" t="s">
        <v>151</v>
      </c>
      <c r="ER69" s="8">
        <v>43708</v>
      </c>
      <c r="ES69" s="16"/>
      <c r="ET69" s="7">
        <v>8884.56</v>
      </c>
      <c r="EU69" s="19">
        <f>35.57+35.46+8.11+11.5</f>
        <v>90.64</v>
      </c>
      <c r="EV69" s="7">
        <f>(663.95-691.36)+(927.37-8869.55)</f>
        <v>-7969.589999999999</v>
      </c>
      <c r="EW69" s="7">
        <f>20.2+1047.66</f>
        <v>1067.8600000000001</v>
      </c>
      <c r="EX69" s="7"/>
      <c r="EY69" s="17">
        <f t="shared" si="16"/>
        <v>2073.47</v>
      </c>
      <c r="EZ69" s="18">
        <f t="shared" si="50"/>
        <v>34.61999999999966</v>
      </c>
      <c r="FA69" s="19">
        <f t="shared" si="51"/>
        <v>3.9434099433475</v>
      </c>
      <c r="FB69" s="15">
        <f t="shared" si="52"/>
        <v>38.56340994334716</v>
      </c>
      <c r="FC69" s="11">
        <f t="shared" si="53"/>
        <v>111.83388883570676</v>
      </c>
      <c r="FD69" s="21">
        <f t="shared" si="54"/>
        <v>152.33417759745367</v>
      </c>
      <c r="FE69" s="22">
        <v>2</v>
      </c>
      <c r="FF69" s="19" t="s">
        <v>155</v>
      </c>
      <c r="FG69" s="7">
        <v>16</v>
      </c>
      <c r="FH69" s="7" t="s">
        <v>63</v>
      </c>
      <c r="FI69" s="7" t="s">
        <v>151</v>
      </c>
      <c r="FJ69" s="8">
        <v>43735</v>
      </c>
      <c r="FK69" s="16"/>
      <c r="FL69" s="7">
        <v>8968.03</v>
      </c>
      <c r="FM69" s="7">
        <v>90.64</v>
      </c>
      <c r="FN69" s="7">
        <v>-7969.589999999999</v>
      </c>
      <c r="FO69" s="7">
        <v>1067.8600000000001</v>
      </c>
      <c r="FP69" s="7"/>
      <c r="FQ69" s="17">
        <v>2156.940000000001</v>
      </c>
      <c r="FR69" s="18">
        <f t="shared" si="55"/>
        <v>83.47000000000116</v>
      </c>
      <c r="FS69" s="19">
        <f t="shared" si="56"/>
        <v>0.6245638569529183</v>
      </c>
      <c r="FT69" s="15">
        <f t="shared" si="57"/>
        <v>84.09456385695408</v>
      </c>
      <c r="FU69" s="11">
        <f t="shared" si="58"/>
        <v>243.87423518516684</v>
      </c>
      <c r="FV69" s="128">
        <f t="shared" si="17"/>
        <v>-18.519290297750068</v>
      </c>
      <c r="FW69" s="13">
        <f t="shared" si="59"/>
        <v>225.35494488741676</v>
      </c>
      <c r="FX69" s="21">
        <f t="shared" si="60"/>
        <v>377.68912248487044</v>
      </c>
      <c r="FY69" s="22">
        <v>2</v>
      </c>
      <c r="FZ69" s="7" t="s">
        <v>39</v>
      </c>
      <c r="GA69" s="134">
        <v>16</v>
      </c>
      <c r="GB69" s="135" t="s">
        <v>63</v>
      </c>
      <c r="GC69" s="135" t="s">
        <v>151</v>
      </c>
      <c r="GD69" s="136">
        <v>43771</v>
      </c>
      <c r="GE69" s="138"/>
      <c r="GF69" s="139">
        <v>9299.72</v>
      </c>
      <c r="GG69" s="3">
        <f>35.57+35.46+8.11+11.5</f>
        <v>90.64</v>
      </c>
      <c r="GH69" s="3">
        <f>(663.95-691.36)+(927.37-8869.55)</f>
        <v>-7969.589999999999</v>
      </c>
      <c r="GI69" s="3">
        <f>20.2+1047.66</f>
        <v>1067.8600000000001</v>
      </c>
      <c r="GJ69" s="3"/>
      <c r="GK69" s="32">
        <f t="shared" si="18"/>
        <v>2488.6299999999997</v>
      </c>
      <c r="GL69" s="18">
        <f t="shared" si="61"/>
        <v>331.6899999999987</v>
      </c>
      <c r="GM69" s="19">
        <f t="shared" si="62"/>
        <v>-38.37749677600024</v>
      </c>
      <c r="GN69" s="15">
        <f t="shared" si="63"/>
        <v>293.3125032239984</v>
      </c>
      <c r="GO69" s="11">
        <f t="shared" si="64"/>
        <v>850.6062593495953</v>
      </c>
      <c r="GP69" s="7">
        <f t="shared" si="19"/>
        <v>-125.60060405913357</v>
      </c>
      <c r="GQ69" s="13">
        <f t="shared" si="65"/>
        <v>725.0056552904617</v>
      </c>
      <c r="GR69" s="46">
        <f t="shared" si="66"/>
        <v>1102.694777775332</v>
      </c>
      <c r="GS69" s="22">
        <v>2</v>
      </c>
      <c r="GT69" s="7" t="s">
        <v>39</v>
      </c>
      <c r="GU69" s="148">
        <v>16</v>
      </c>
      <c r="GV69" s="148" t="s">
        <v>63</v>
      </c>
      <c r="GW69" s="148" t="s">
        <v>151</v>
      </c>
      <c r="GX69" s="155">
        <v>43795</v>
      </c>
      <c r="GY69" s="156"/>
      <c r="GZ69" s="148">
        <v>9611.48</v>
      </c>
      <c r="HA69" s="157">
        <f>35.57+35.46+8.11+11.5</f>
        <v>90.64</v>
      </c>
      <c r="HB69" s="157">
        <f>(663.95-691.36)+(927.37-8869.55)</f>
        <v>-7969.589999999999</v>
      </c>
      <c r="HC69" s="157">
        <f>20.2+1047.66</f>
        <v>1067.8600000000001</v>
      </c>
      <c r="HD69" s="157"/>
      <c r="HE69" s="158">
        <f t="shared" si="20"/>
        <v>2800.39</v>
      </c>
      <c r="HF69" s="18">
        <f t="shared" si="67"/>
        <v>311.7600000000002</v>
      </c>
      <c r="HG69" s="19">
        <f t="shared" si="68"/>
        <v>76.41256077806202</v>
      </c>
      <c r="HH69" s="15">
        <f t="shared" si="69"/>
        <v>388.17256077806223</v>
      </c>
      <c r="HI69" s="11">
        <f t="shared" si="70"/>
        <v>1125.7004262563805</v>
      </c>
      <c r="HJ69" s="7">
        <f t="shared" si="71"/>
        <v>-142.47517358353977</v>
      </c>
      <c r="HK69" s="13">
        <f t="shared" si="72"/>
        <v>983.2252526728407</v>
      </c>
      <c r="HL69" s="46">
        <f t="shared" si="73"/>
        <v>2085.920030448173</v>
      </c>
      <c r="HM69" s="22">
        <v>2</v>
      </c>
      <c r="HN69" s="7" t="s">
        <v>39</v>
      </c>
      <c r="HO69" s="12">
        <v>16</v>
      </c>
      <c r="HP69" s="7" t="s">
        <v>63</v>
      </c>
      <c r="HQ69" s="7" t="s">
        <v>151</v>
      </c>
      <c r="HR69" s="8">
        <v>43830</v>
      </c>
      <c r="HS69" s="171">
        <v>3000</v>
      </c>
      <c r="HT69" s="7">
        <v>9970.89</v>
      </c>
      <c r="HU69" s="7">
        <v>90.64</v>
      </c>
      <c r="HV69" s="7">
        <v>-7969.589999999999</v>
      </c>
      <c r="HW69" s="7">
        <v>1067.8600000000001</v>
      </c>
      <c r="HX69" s="7"/>
      <c r="HY69" s="17">
        <v>3159.7999999999997</v>
      </c>
      <c r="HZ69" s="18">
        <f t="shared" si="74"/>
        <v>359.40999999999985</v>
      </c>
      <c r="IA69" s="19">
        <f t="shared" si="75"/>
        <v>43.12920000000001</v>
      </c>
      <c r="IB69" s="20">
        <f t="shared" si="76"/>
        <v>402.5391999999999</v>
      </c>
      <c r="IC69" s="11">
        <f t="shared" si="77"/>
        <v>1167.3636799999997</v>
      </c>
      <c r="ID69" s="7">
        <f t="shared" si="78"/>
        <v>-118.7466326156541</v>
      </c>
      <c r="IE69" s="13">
        <f t="shared" si="79"/>
        <v>1048.6170473843456</v>
      </c>
      <c r="IF69" s="46">
        <f t="shared" si="80"/>
        <v>134.53707783251843</v>
      </c>
      <c r="IG69" s="22">
        <v>2</v>
      </c>
      <c r="IH69" s="7" t="s">
        <v>39</v>
      </c>
    </row>
    <row r="70" spans="1:242" ht="19.5" customHeight="1">
      <c r="A70" s="10">
        <v>17</v>
      </c>
      <c r="B70" s="6" t="s">
        <v>64</v>
      </c>
      <c r="C70" s="6" t="s">
        <v>20</v>
      </c>
      <c r="D70" s="5">
        <v>43100</v>
      </c>
      <c r="F70" s="6">
        <v>1114.44</v>
      </c>
      <c r="H70" s="6">
        <v>1114.44</v>
      </c>
      <c r="J70" s="6">
        <v>0</v>
      </c>
      <c r="K70" s="6">
        <v>0</v>
      </c>
      <c r="L70" s="6">
        <v>0</v>
      </c>
      <c r="M70" s="6">
        <v>0</v>
      </c>
      <c r="N70" s="6">
        <v>-179.2232576807379</v>
      </c>
      <c r="O70" s="10">
        <v>1</v>
      </c>
      <c r="P70" s="6" t="s">
        <v>39</v>
      </c>
      <c r="Q70" s="1">
        <v>17</v>
      </c>
      <c r="R70" s="56" t="s">
        <v>64</v>
      </c>
      <c r="S70" s="54">
        <v>1485.3700000000001</v>
      </c>
      <c r="T70" s="55">
        <v>-2076.935584069129</v>
      </c>
      <c r="U70" s="2" t="s">
        <v>20</v>
      </c>
      <c r="V70" s="50">
        <v>43374</v>
      </c>
      <c r="W70" s="37"/>
      <c r="X70" s="51">
        <v>1480.3600000000001</v>
      </c>
      <c r="Y70" s="51">
        <f>5+0.01+0+0</f>
        <v>5.01</v>
      </c>
      <c r="Z70" s="58"/>
      <c r="AA70" s="58"/>
      <c r="AB70" s="58"/>
      <c r="AC70" s="57">
        <f t="shared" si="6"/>
        <v>1485.3700000000001</v>
      </c>
      <c r="AD70" s="34">
        <f t="shared" si="7"/>
        <v>0</v>
      </c>
      <c r="AE70" s="38">
        <f t="shared" si="8"/>
        <v>0</v>
      </c>
      <c r="AF70" s="39">
        <f t="shared" si="9"/>
        <v>0</v>
      </c>
      <c r="AG70" s="4">
        <f t="shared" si="21"/>
        <v>0</v>
      </c>
      <c r="AH70" s="40">
        <f t="shared" si="10"/>
        <v>-2076.935584069129</v>
      </c>
      <c r="AI70" s="63" t="s">
        <v>40</v>
      </c>
      <c r="AJ70" s="64" t="s">
        <v>41</v>
      </c>
      <c r="AK70" s="1">
        <v>17</v>
      </c>
      <c r="AL70" s="2" t="s">
        <v>64</v>
      </c>
      <c r="AM70" s="2" t="s">
        <v>20</v>
      </c>
      <c r="AN70" s="75">
        <v>43374</v>
      </c>
      <c r="AO70" s="73"/>
      <c r="AP70" s="76">
        <v>1480.3600000000001</v>
      </c>
      <c r="AQ70" s="76">
        <f>5+0.01+0+0+0</f>
        <v>5.01</v>
      </c>
      <c r="AR70" s="78"/>
      <c r="AS70" s="78"/>
      <c r="AT70" s="78"/>
      <c r="AU70" s="79">
        <f t="shared" si="11"/>
        <v>1485.3700000000001</v>
      </c>
      <c r="AV70" s="81">
        <f t="shared" si="12"/>
        <v>0</v>
      </c>
      <c r="AW70" s="80">
        <f t="shared" si="13"/>
        <v>0</v>
      </c>
      <c r="AX70" s="85">
        <f t="shared" si="22"/>
        <v>0</v>
      </c>
      <c r="AY70" s="91">
        <f t="shared" si="23"/>
        <v>0</v>
      </c>
      <c r="AZ70" s="88">
        <f t="shared" si="24"/>
        <v>-2076.935584069129</v>
      </c>
      <c r="BA70" s="22" t="s">
        <v>40</v>
      </c>
      <c r="BB70" s="7" t="s">
        <v>41</v>
      </c>
      <c r="BC70" s="12">
        <v>17</v>
      </c>
      <c r="BD70" s="20" t="s">
        <v>128</v>
      </c>
      <c r="BE70" s="7" t="s">
        <v>124</v>
      </c>
      <c r="BF70" s="8">
        <v>43555</v>
      </c>
      <c r="BG70" s="16"/>
      <c r="BH70" s="7">
        <v>7371.24</v>
      </c>
      <c r="BI70" s="19">
        <f>5+0.01+0+0+0+0</f>
        <v>5.01</v>
      </c>
      <c r="BJ70" s="20">
        <f>1480.36-7371.24</f>
        <v>-5890.88</v>
      </c>
      <c r="BK70" s="7"/>
      <c r="BL70" s="7"/>
      <c r="BM70" s="17">
        <f t="shared" si="14"/>
        <v>1485.37</v>
      </c>
      <c r="BN70" s="18">
        <f t="shared" si="25"/>
        <v>0</v>
      </c>
      <c r="BO70" s="19">
        <f t="shared" si="26"/>
        <v>0</v>
      </c>
      <c r="BP70" s="15">
        <f t="shared" si="27"/>
        <v>0</v>
      </c>
      <c r="BQ70" s="11">
        <f t="shared" si="28"/>
        <v>0</v>
      </c>
      <c r="BR70" s="46">
        <f t="shared" si="29"/>
        <v>-2076.935584069129</v>
      </c>
      <c r="BS70" s="22" t="s">
        <v>132</v>
      </c>
      <c r="BT70" s="7" t="s">
        <v>133</v>
      </c>
      <c r="BU70" s="12">
        <v>17</v>
      </c>
      <c r="BV70" s="7" t="s">
        <v>134</v>
      </c>
      <c r="BW70" s="7" t="s">
        <v>124</v>
      </c>
      <c r="BX70" s="8">
        <v>43585</v>
      </c>
      <c r="BY70" s="16"/>
      <c r="BZ70" s="7">
        <v>7371.24</v>
      </c>
      <c r="CA70" s="7">
        <v>5.01</v>
      </c>
      <c r="CB70" s="7">
        <v>-5890.88</v>
      </c>
      <c r="CC70" s="7"/>
      <c r="CD70" s="7"/>
      <c r="CE70" s="17">
        <v>1485.37</v>
      </c>
      <c r="CF70" s="18">
        <f t="shared" si="30"/>
        <v>0</v>
      </c>
      <c r="CG70" s="19">
        <f t="shared" si="31"/>
        <v>0</v>
      </c>
      <c r="CH70" s="20">
        <f t="shared" si="32"/>
        <v>0</v>
      </c>
      <c r="CI70" s="11">
        <f t="shared" si="33"/>
        <v>0</v>
      </c>
      <c r="CJ70" s="46">
        <f t="shared" si="34"/>
        <v>-2076.935584069129</v>
      </c>
      <c r="CK70" s="22">
        <v>2</v>
      </c>
      <c r="CL70" s="7" t="s">
        <v>39</v>
      </c>
      <c r="CM70" s="12">
        <v>17</v>
      </c>
      <c r="CN70" s="7" t="s">
        <v>134</v>
      </c>
      <c r="CO70" s="7" t="s">
        <v>124</v>
      </c>
      <c r="CP70" s="8">
        <v>43615</v>
      </c>
      <c r="CQ70" s="16"/>
      <c r="CR70" s="7">
        <v>7407.28</v>
      </c>
      <c r="CS70" s="7">
        <v>5.01</v>
      </c>
      <c r="CT70" s="7">
        <v>-5890.88</v>
      </c>
      <c r="CU70" s="7"/>
      <c r="CV70" s="7"/>
      <c r="CW70" s="17">
        <v>1521.4099999999999</v>
      </c>
      <c r="CX70" s="18">
        <f t="shared" si="35"/>
        <v>36.039999999999964</v>
      </c>
      <c r="CY70" s="19">
        <f t="shared" si="36"/>
        <v>15.52364570479081</v>
      </c>
      <c r="CZ70" s="15">
        <f t="shared" si="37"/>
        <v>51.56364570479077</v>
      </c>
      <c r="DA70" s="11">
        <f t="shared" si="38"/>
        <v>145.40948088750997</v>
      </c>
      <c r="DB70" s="46">
        <f t="shared" si="39"/>
        <v>-1931.5261031816192</v>
      </c>
      <c r="DC70" s="22">
        <v>2</v>
      </c>
      <c r="DD70" s="7" t="s">
        <v>39</v>
      </c>
      <c r="DE70" s="1">
        <v>17</v>
      </c>
      <c r="DF70" s="2" t="s">
        <v>134</v>
      </c>
      <c r="DG70" s="2" t="s">
        <v>124</v>
      </c>
      <c r="DH70" s="30">
        <v>43646</v>
      </c>
      <c r="DI70" s="37"/>
      <c r="DJ70" s="31">
        <v>7479.09</v>
      </c>
      <c r="DK70" s="58">
        <f>5+0.01+0+0+0+0</f>
        <v>5.01</v>
      </c>
      <c r="DL70" s="58">
        <f>1480.36-7371.24</f>
        <v>-5890.88</v>
      </c>
      <c r="DM70" s="58"/>
      <c r="DN70" s="35"/>
      <c r="DO70" s="57">
        <f t="shared" si="15"/>
        <v>1593.2200000000003</v>
      </c>
      <c r="DP70" s="18">
        <f t="shared" si="40"/>
        <v>71.8100000000004</v>
      </c>
      <c r="DQ70" s="19">
        <f t="shared" si="41"/>
        <v>-1.3263611165090803</v>
      </c>
      <c r="DR70" s="15">
        <f t="shared" si="42"/>
        <v>70.48363888349132</v>
      </c>
      <c r="DS70" s="11">
        <f t="shared" si="43"/>
        <v>198.76386165144552</v>
      </c>
      <c r="DT70" s="46">
        <f t="shared" si="44"/>
        <v>-1732.7622415301737</v>
      </c>
      <c r="DU70" s="22">
        <v>2</v>
      </c>
      <c r="DV70" s="7" t="s">
        <v>39</v>
      </c>
      <c r="DW70" s="12">
        <v>17</v>
      </c>
      <c r="DX70" s="7" t="s">
        <v>134</v>
      </c>
      <c r="DY70" s="7" t="s">
        <v>124</v>
      </c>
      <c r="DZ70" s="8">
        <v>43677</v>
      </c>
      <c r="EA70" s="16"/>
      <c r="EB70" s="7">
        <v>7556.6</v>
      </c>
      <c r="EC70" s="7">
        <v>5.01</v>
      </c>
      <c r="ED70" s="7">
        <v>-5890.88</v>
      </c>
      <c r="EE70" s="7"/>
      <c r="EF70" s="7"/>
      <c r="EG70" s="17">
        <v>1670.7300000000005</v>
      </c>
      <c r="EH70" s="18">
        <f t="shared" si="45"/>
        <v>77.51000000000022</v>
      </c>
      <c r="EI70" s="19">
        <f t="shared" si="46"/>
        <v>13.388807970068294</v>
      </c>
      <c r="EJ70" s="15">
        <f t="shared" si="47"/>
        <v>90.89880797006852</v>
      </c>
      <c r="EK70" s="11">
        <f t="shared" si="48"/>
        <v>263.6065431131987</v>
      </c>
      <c r="EL70" s="125">
        <f t="shared" si="49"/>
        <v>-1469.155698416975</v>
      </c>
      <c r="EM70" s="22">
        <v>2</v>
      </c>
      <c r="EN70" s="7" t="s">
        <v>39</v>
      </c>
      <c r="EO70" s="12">
        <v>17</v>
      </c>
      <c r="EP70" s="7" t="s">
        <v>134</v>
      </c>
      <c r="EQ70" s="7" t="s">
        <v>124</v>
      </c>
      <c r="ER70" s="8">
        <v>43708</v>
      </c>
      <c r="ES70" s="16"/>
      <c r="ET70" s="7">
        <v>7658.08</v>
      </c>
      <c r="EU70" s="7">
        <f>5+0.01+0+0+0+0</f>
        <v>5.01</v>
      </c>
      <c r="EV70" s="7">
        <f>1480.36-7371.24</f>
        <v>-5890.88</v>
      </c>
      <c r="EW70" s="7"/>
      <c r="EX70" s="7"/>
      <c r="EY70" s="17">
        <f t="shared" si="16"/>
        <v>1772.21</v>
      </c>
      <c r="EZ70" s="18">
        <f t="shared" si="50"/>
        <v>101.47999999999956</v>
      </c>
      <c r="FA70" s="19">
        <f t="shared" si="51"/>
        <v>11.559134634630459</v>
      </c>
      <c r="FB70" s="15">
        <f t="shared" si="52"/>
        <v>113.03913463463002</v>
      </c>
      <c r="FC70" s="11">
        <f t="shared" si="53"/>
        <v>327.813490440427</v>
      </c>
      <c r="FD70" s="21">
        <f t="shared" si="54"/>
        <v>-1141.3422079765478</v>
      </c>
      <c r="FE70" s="22">
        <v>2</v>
      </c>
      <c r="FF70" s="7" t="s">
        <v>39</v>
      </c>
      <c r="FG70" s="7">
        <v>17</v>
      </c>
      <c r="FH70" s="7" t="s">
        <v>134</v>
      </c>
      <c r="FI70" s="7" t="s">
        <v>124</v>
      </c>
      <c r="FJ70" s="8">
        <v>43735</v>
      </c>
      <c r="FK70" s="16"/>
      <c r="FL70" s="7">
        <v>7758.9400000000005</v>
      </c>
      <c r="FM70" s="7">
        <v>5.01</v>
      </c>
      <c r="FN70" s="7">
        <v>-5890.88</v>
      </c>
      <c r="FO70" s="7"/>
      <c r="FP70" s="7"/>
      <c r="FQ70" s="17">
        <v>1873.0700000000006</v>
      </c>
      <c r="FR70" s="18">
        <f t="shared" si="55"/>
        <v>100.86000000000058</v>
      </c>
      <c r="FS70" s="19">
        <f t="shared" si="56"/>
        <v>0.7546844448576833</v>
      </c>
      <c r="FT70" s="15">
        <f t="shared" si="57"/>
        <v>101.61468444485827</v>
      </c>
      <c r="FU70" s="11">
        <f t="shared" si="58"/>
        <v>294.68258489008895</v>
      </c>
      <c r="FV70" s="128">
        <f t="shared" si="17"/>
        <v>-22.377568221289764</v>
      </c>
      <c r="FW70" s="13">
        <f t="shared" si="59"/>
        <v>272.30501666879917</v>
      </c>
      <c r="FX70" s="21">
        <f t="shared" si="60"/>
        <v>-869.0371913077486</v>
      </c>
      <c r="FY70" s="22">
        <v>2</v>
      </c>
      <c r="FZ70" s="7" t="s">
        <v>39</v>
      </c>
      <c r="GA70" s="134">
        <v>17</v>
      </c>
      <c r="GB70" s="135" t="s">
        <v>134</v>
      </c>
      <c r="GC70" s="135" t="s">
        <v>124</v>
      </c>
      <c r="GD70" s="136">
        <v>43771</v>
      </c>
      <c r="GE70" s="138"/>
      <c r="GF70" s="139">
        <v>7776.04</v>
      </c>
      <c r="GG70" s="3">
        <f>5+0.01+0+0+0+0</f>
        <v>5.01</v>
      </c>
      <c r="GH70" s="3">
        <f>1480.36-7371.24</f>
        <v>-5890.88</v>
      </c>
      <c r="GI70" s="3"/>
      <c r="GJ70" s="3"/>
      <c r="GK70" s="32">
        <f t="shared" si="18"/>
        <v>1890.17</v>
      </c>
      <c r="GL70" s="18">
        <f t="shared" si="61"/>
        <v>17.099999999999454</v>
      </c>
      <c r="GM70" s="19">
        <f t="shared" si="62"/>
        <v>-1.978519686664011</v>
      </c>
      <c r="GN70" s="15">
        <f t="shared" si="63"/>
        <v>15.121480313335443</v>
      </c>
      <c r="GO70" s="11">
        <f t="shared" si="64"/>
        <v>43.85229290867278</v>
      </c>
      <c r="GP70" s="7">
        <f t="shared" si="19"/>
        <v>-6.475233891317568</v>
      </c>
      <c r="GQ70" s="13">
        <f t="shared" si="65"/>
        <v>37.37705901735521</v>
      </c>
      <c r="GR70" s="46">
        <f t="shared" si="66"/>
        <v>-831.6601322903933</v>
      </c>
      <c r="GS70" s="22">
        <v>2</v>
      </c>
      <c r="GT70" s="7" t="s">
        <v>39</v>
      </c>
      <c r="GU70" s="148">
        <v>17</v>
      </c>
      <c r="GV70" s="148" t="s">
        <v>134</v>
      </c>
      <c r="GW70" s="148" t="s">
        <v>124</v>
      </c>
      <c r="GX70" s="155">
        <v>43799</v>
      </c>
      <c r="GY70" s="156"/>
      <c r="GZ70" s="148">
        <v>7776.04</v>
      </c>
      <c r="HA70" s="157">
        <f>5+0.01+0+0+0+0</f>
        <v>5.01</v>
      </c>
      <c r="HB70" s="157">
        <f>1480.36-7371.24</f>
        <v>-5890.88</v>
      </c>
      <c r="HC70" s="157"/>
      <c r="HD70" s="157"/>
      <c r="HE70" s="158">
        <f t="shared" si="20"/>
        <v>1890.17</v>
      </c>
      <c r="HF70" s="18">
        <f t="shared" si="67"/>
        <v>0</v>
      </c>
      <c r="HG70" s="19">
        <f t="shared" si="68"/>
        <v>0</v>
      </c>
      <c r="HH70" s="15">
        <f t="shared" si="69"/>
        <v>0</v>
      </c>
      <c r="HI70" s="11">
        <f t="shared" si="70"/>
        <v>0</v>
      </c>
      <c r="HJ70" s="7">
        <f t="shared" si="71"/>
        <v>0</v>
      </c>
      <c r="HK70" s="13">
        <f t="shared" si="72"/>
        <v>0</v>
      </c>
      <c r="HL70" s="46">
        <f t="shared" si="73"/>
        <v>-831.6601322903933</v>
      </c>
      <c r="HM70" s="22">
        <v>2</v>
      </c>
      <c r="HN70" s="7" t="s">
        <v>39</v>
      </c>
      <c r="HO70" s="12">
        <v>17</v>
      </c>
      <c r="HP70" s="7" t="s">
        <v>134</v>
      </c>
      <c r="HQ70" s="7" t="s">
        <v>124</v>
      </c>
      <c r="HR70" s="8">
        <v>43830</v>
      </c>
      <c r="HS70" s="171"/>
      <c r="HT70" s="7">
        <v>7776.04</v>
      </c>
      <c r="HU70" s="7">
        <v>5.01</v>
      </c>
      <c r="HV70" s="7">
        <v>-5890.88</v>
      </c>
      <c r="HW70" s="7"/>
      <c r="HX70" s="7"/>
      <c r="HY70" s="17">
        <v>1890.17</v>
      </c>
      <c r="HZ70" s="18">
        <f t="shared" si="74"/>
        <v>0</v>
      </c>
      <c r="IA70" s="19">
        <f t="shared" si="75"/>
        <v>0</v>
      </c>
      <c r="IB70" s="20">
        <f t="shared" si="76"/>
        <v>0</v>
      </c>
      <c r="IC70" s="11">
        <f t="shared" si="77"/>
        <v>0</v>
      </c>
      <c r="ID70" s="7">
        <f t="shared" si="78"/>
        <v>0</v>
      </c>
      <c r="IE70" s="13">
        <f t="shared" si="79"/>
        <v>0</v>
      </c>
      <c r="IF70" s="46">
        <f t="shared" si="80"/>
        <v>-831.6601322903933</v>
      </c>
      <c r="IG70" s="22">
        <v>2</v>
      </c>
      <c r="IH70" s="7" t="s">
        <v>39</v>
      </c>
    </row>
    <row r="71" spans="1:242" ht="19.5" customHeight="1">
      <c r="A71" s="10">
        <v>18</v>
      </c>
      <c r="B71" s="6" t="s">
        <v>65</v>
      </c>
      <c r="C71" s="6" t="s">
        <v>17</v>
      </c>
      <c r="D71" s="5">
        <v>43085</v>
      </c>
      <c r="F71" s="6">
        <v>1126.31</v>
      </c>
      <c r="H71" s="6">
        <v>1126.31</v>
      </c>
      <c r="J71" s="6">
        <v>0</v>
      </c>
      <c r="K71" s="6">
        <v>0</v>
      </c>
      <c r="L71" s="6">
        <v>0</v>
      </c>
      <c r="M71" s="6">
        <v>0</v>
      </c>
      <c r="N71" s="6">
        <v>51.40707555455668</v>
      </c>
      <c r="O71" s="10">
        <v>1</v>
      </c>
      <c r="P71" s="6" t="s">
        <v>39</v>
      </c>
      <c r="Q71" s="1">
        <v>18</v>
      </c>
      <c r="R71" s="56" t="s">
        <v>65</v>
      </c>
      <c r="S71" s="54">
        <v>1556.99</v>
      </c>
      <c r="T71" s="55">
        <v>246.09173651905772</v>
      </c>
      <c r="U71" s="2" t="s">
        <v>101</v>
      </c>
      <c r="V71" s="30">
        <v>43496</v>
      </c>
      <c r="W71" s="37"/>
      <c r="X71" s="31">
        <v>0.47000000000000003</v>
      </c>
      <c r="Y71" s="49"/>
      <c r="Z71" s="49"/>
      <c r="AA71" s="49">
        <f>430.21+1126.31</f>
        <v>1556.52</v>
      </c>
      <c r="AB71" s="58"/>
      <c r="AC71" s="57">
        <f t="shared" si="6"/>
        <v>1556.99</v>
      </c>
      <c r="AD71" s="34">
        <f t="shared" si="7"/>
        <v>0</v>
      </c>
      <c r="AE71" s="38">
        <f t="shared" si="8"/>
        <v>0</v>
      </c>
      <c r="AF71" s="39">
        <f t="shared" si="9"/>
        <v>0</v>
      </c>
      <c r="AG71" s="4">
        <f t="shared" si="21"/>
        <v>0</v>
      </c>
      <c r="AH71" s="40">
        <f t="shared" si="10"/>
        <v>246.09173651905772</v>
      </c>
      <c r="AI71" s="41">
        <v>2</v>
      </c>
      <c r="AJ71" s="36" t="s">
        <v>39</v>
      </c>
      <c r="AK71" s="1">
        <v>18</v>
      </c>
      <c r="AL71" s="2" t="s">
        <v>65</v>
      </c>
      <c r="AM71" s="2" t="s">
        <v>101</v>
      </c>
      <c r="AN71" s="72">
        <v>43521</v>
      </c>
      <c r="AO71" s="73"/>
      <c r="AP71" s="74">
        <v>0.47000000000000003</v>
      </c>
      <c r="AQ71" s="77"/>
      <c r="AR71" s="77"/>
      <c r="AS71" s="77">
        <f>430.21+1126.31</f>
        <v>1556.52</v>
      </c>
      <c r="AT71" s="78"/>
      <c r="AU71" s="79">
        <f t="shared" si="11"/>
        <v>1556.99</v>
      </c>
      <c r="AV71" s="81">
        <f t="shared" si="12"/>
        <v>0</v>
      </c>
      <c r="AW71" s="80">
        <f t="shared" si="13"/>
        <v>0</v>
      </c>
      <c r="AX71" s="85">
        <f t="shared" si="22"/>
        <v>0</v>
      </c>
      <c r="AY71" s="91">
        <f t="shared" si="23"/>
        <v>0</v>
      </c>
      <c r="AZ71" s="88">
        <f t="shared" si="24"/>
        <v>246.09173651905772</v>
      </c>
      <c r="BA71" s="22">
        <v>2</v>
      </c>
      <c r="BB71" s="7" t="s">
        <v>39</v>
      </c>
      <c r="BC71" s="12">
        <v>18</v>
      </c>
      <c r="BD71" s="7" t="s">
        <v>65</v>
      </c>
      <c r="BE71" s="7" t="s">
        <v>101</v>
      </c>
      <c r="BF71" s="8">
        <v>43555</v>
      </c>
      <c r="BG71" s="16"/>
      <c r="BH71" s="7">
        <v>0.47000000000000003</v>
      </c>
      <c r="BI71" s="7"/>
      <c r="BJ71" s="7"/>
      <c r="BK71" s="7">
        <f>430.21+1126.31</f>
        <v>1556.52</v>
      </c>
      <c r="BL71" s="7"/>
      <c r="BM71" s="17">
        <f t="shared" si="14"/>
        <v>1556.99</v>
      </c>
      <c r="BN71" s="18">
        <f t="shared" si="25"/>
        <v>0</v>
      </c>
      <c r="BO71" s="19">
        <f t="shared" si="26"/>
        <v>0</v>
      </c>
      <c r="BP71" s="15">
        <f t="shared" si="27"/>
        <v>0</v>
      </c>
      <c r="BQ71" s="11">
        <f t="shared" si="28"/>
        <v>0</v>
      </c>
      <c r="BR71" s="46">
        <f t="shared" si="29"/>
        <v>246.09173651905772</v>
      </c>
      <c r="BS71" s="22">
        <v>2</v>
      </c>
      <c r="BT71" s="7" t="s">
        <v>39</v>
      </c>
      <c r="BU71" s="12">
        <v>18</v>
      </c>
      <c r="BV71" s="7" t="s">
        <v>65</v>
      </c>
      <c r="BW71" s="7" t="s">
        <v>101</v>
      </c>
      <c r="BX71" s="8">
        <v>43585</v>
      </c>
      <c r="BY71" s="16"/>
      <c r="BZ71" s="7">
        <v>0.47000000000000003</v>
      </c>
      <c r="CA71" s="7"/>
      <c r="CB71" s="7"/>
      <c r="CC71" s="7">
        <v>1556.52</v>
      </c>
      <c r="CD71" s="7"/>
      <c r="CE71" s="17">
        <v>1556.99</v>
      </c>
      <c r="CF71" s="18">
        <f t="shared" si="30"/>
        <v>0</v>
      </c>
      <c r="CG71" s="19">
        <f t="shared" si="31"/>
        <v>0</v>
      </c>
      <c r="CH71" s="20">
        <f t="shared" si="32"/>
        <v>0</v>
      </c>
      <c r="CI71" s="11">
        <f t="shared" si="33"/>
        <v>0</v>
      </c>
      <c r="CJ71" s="46">
        <f t="shared" si="34"/>
        <v>246.09173651905772</v>
      </c>
      <c r="CK71" s="22">
        <v>2</v>
      </c>
      <c r="CL71" s="7" t="s">
        <v>39</v>
      </c>
      <c r="CM71" s="12">
        <v>18</v>
      </c>
      <c r="CN71" s="7" t="s">
        <v>65</v>
      </c>
      <c r="CO71" s="7" t="s">
        <v>101</v>
      </c>
      <c r="CP71" s="8">
        <v>43615</v>
      </c>
      <c r="CQ71" s="16"/>
      <c r="CR71" s="7">
        <v>21.93</v>
      </c>
      <c r="CS71" s="7"/>
      <c r="CT71" s="7"/>
      <c r="CU71" s="7">
        <v>1556.52</v>
      </c>
      <c r="CV71" s="7"/>
      <c r="CW71" s="17">
        <v>1578.45</v>
      </c>
      <c r="CX71" s="18">
        <f t="shared" si="35"/>
        <v>21.460000000000036</v>
      </c>
      <c r="CY71" s="19">
        <f t="shared" si="36"/>
        <v>9.243547081709536</v>
      </c>
      <c r="CZ71" s="15">
        <f t="shared" si="37"/>
        <v>30.703547081709573</v>
      </c>
      <c r="DA71" s="11">
        <f t="shared" si="38"/>
        <v>86.584002770421</v>
      </c>
      <c r="DB71" s="46">
        <f t="shared" si="39"/>
        <v>332.6757392894787</v>
      </c>
      <c r="DC71" s="22">
        <v>2</v>
      </c>
      <c r="DD71" s="7" t="s">
        <v>39</v>
      </c>
      <c r="DE71" s="1">
        <v>18</v>
      </c>
      <c r="DF71" s="2" t="s">
        <v>65</v>
      </c>
      <c r="DG71" s="2" t="s">
        <v>101</v>
      </c>
      <c r="DH71" s="30">
        <v>43646</v>
      </c>
      <c r="DI71" s="37">
        <v>500</v>
      </c>
      <c r="DJ71" s="31">
        <v>84.88</v>
      </c>
      <c r="DK71" s="58"/>
      <c r="DL71" s="58"/>
      <c r="DM71" s="58">
        <f>430.21+1126.31</f>
        <v>1556.52</v>
      </c>
      <c r="DN71" s="35"/>
      <c r="DO71" s="57">
        <f t="shared" si="15"/>
        <v>1641.4</v>
      </c>
      <c r="DP71" s="18">
        <f t="shared" si="40"/>
        <v>62.950000000000045</v>
      </c>
      <c r="DQ71" s="19">
        <f t="shared" si="41"/>
        <v>-1.162713163685367</v>
      </c>
      <c r="DR71" s="15">
        <f t="shared" si="42"/>
        <v>61.78728683631468</v>
      </c>
      <c r="DS71" s="11">
        <f t="shared" si="43"/>
        <v>174.24014887840738</v>
      </c>
      <c r="DT71" s="46">
        <f t="shared" si="44"/>
        <v>6.915888167886095</v>
      </c>
      <c r="DU71" s="22">
        <v>2</v>
      </c>
      <c r="DV71" s="7" t="s">
        <v>39</v>
      </c>
      <c r="DW71" s="12">
        <v>18</v>
      </c>
      <c r="DX71" s="7" t="s">
        <v>65</v>
      </c>
      <c r="DY71" s="7" t="s">
        <v>101</v>
      </c>
      <c r="DZ71" s="8">
        <v>43677</v>
      </c>
      <c r="EA71" s="16"/>
      <c r="EB71" s="7">
        <v>143.41</v>
      </c>
      <c r="EC71" s="7"/>
      <c r="ED71" s="7"/>
      <c r="EE71" s="7">
        <v>1556.52</v>
      </c>
      <c r="EF71" s="7"/>
      <c r="EG71" s="17">
        <v>1699.93</v>
      </c>
      <c r="EH71" s="18">
        <f t="shared" si="45"/>
        <v>58.52999999999997</v>
      </c>
      <c r="EI71" s="19">
        <f t="shared" si="46"/>
        <v>10.110268745814665</v>
      </c>
      <c r="EJ71" s="15">
        <f t="shared" si="47"/>
        <v>68.64026874581464</v>
      </c>
      <c r="EK71" s="11">
        <f t="shared" si="48"/>
        <v>199.05677936286244</v>
      </c>
      <c r="EL71" s="125">
        <f t="shared" si="49"/>
        <v>205.97266753074854</v>
      </c>
      <c r="EM71" s="22">
        <v>2</v>
      </c>
      <c r="EN71" s="7" t="s">
        <v>39</v>
      </c>
      <c r="EO71" s="12">
        <v>18</v>
      </c>
      <c r="EP71" s="7" t="s">
        <v>65</v>
      </c>
      <c r="EQ71" s="7" t="s">
        <v>101</v>
      </c>
      <c r="ER71" s="8">
        <v>43708</v>
      </c>
      <c r="ES71" s="16"/>
      <c r="ET71" s="7">
        <v>206.6</v>
      </c>
      <c r="EU71" s="7"/>
      <c r="EV71" s="7"/>
      <c r="EW71" s="7">
        <f>430.21+1126.31</f>
        <v>1556.52</v>
      </c>
      <c r="EX71" s="7"/>
      <c r="EY71" s="17">
        <f t="shared" si="16"/>
        <v>1763.12</v>
      </c>
      <c r="EZ71" s="18">
        <f t="shared" si="50"/>
        <v>63.18999999999983</v>
      </c>
      <c r="FA71" s="19">
        <f t="shared" si="51"/>
        <v>7.19769134373571</v>
      </c>
      <c r="FB71" s="15">
        <f t="shared" si="52"/>
        <v>70.38769134373554</v>
      </c>
      <c r="FC71" s="11">
        <f t="shared" si="53"/>
        <v>204.12430489683305</v>
      </c>
      <c r="FD71" s="21">
        <f t="shared" si="54"/>
        <v>410.0969724275816</v>
      </c>
      <c r="FE71" s="22">
        <v>2</v>
      </c>
      <c r="FF71" s="7" t="s">
        <v>39</v>
      </c>
      <c r="FG71" s="7">
        <v>18</v>
      </c>
      <c r="FH71" s="7" t="s">
        <v>65</v>
      </c>
      <c r="FI71" s="7" t="s">
        <v>101</v>
      </c>
      <c r="FJ71" s="8">
        <v>43735</v>
      </c>
      <c r="FK71" s="16"/>
      <c r="FL71" s="7">
        <v>234.15</v>
      </c>
      <c r="FM71" s="7"/>
      <c r="FN71" s="7"/>
      <c r="FO71" s="7">
        <v>1556.52</v>
      </c>
      <c r="FP71" s="7"/>
      <c r="FQ71" s="17">
        <v>1790.67</v>
      </c>
      <c r="FR71" s="18">
        <f t="shared" si="55"/>
        <v>27.550000000000182</v>
      </c>
      <c r="FS71" s="19">
        <f t="shared" si="56"/>
        <v>0.2061427370199206</v>
      </c>
      <c r="FT71" s="15">
        <f t="shared" si="57"/>
        <v>27.756142737020102</v>
      </c>
      <c r="FU71" s="11">
        <f t="shared" si="58"/>
        <v>80.49281393735829</v>
      </c>
      <c r="FV71" s="128">
        <f t="shared" si="17"/>
        <v>-6.112452949598786</v>
      </c>
      <c r="FW71" s="13">
        <f t="shared" si="59"/>
        <v>74.3803609877595</v>
      </c>
      <c r="FX71" s="21">
        <f t="shared" si="60"/>
        <v>484.4773334153411</v>
      </c>
      <c r="FY71" s="22">
        <v>2</v>
      </c>
      <c r="FZ71" s="7" t="s">
        <v>39</v>
      </c>
      <c r="GA71" s="134">
        <v>18</v>
      </c>
      <c r="GB71" s="135" t="s">
        <v>65</v>
      </c>
      <c r="GC71" s="135" t="s">
        <v>101</v>
      </c>
      <c r="GD71" s="136">
        <v>43771</v>
      </c>
      <c r="GE71" s="138"/>
      <c r="GF71" s="139">
        <v>239.64000000000001</v>
      </c>
      <c r="GG71" s="3"/>
      <c r="GH71" s="3"/>
      <c r="GI71" s="3">
        <f>430.21+1126.31</f>
        <v>1556.52</v>
      </c>
      <c r="GJ71" s="3"/>
      <c r="GK71" s="32">
        <f t="shared" si="18"/>
        <v>1796.16</v>
      </c>
      <c r="GL71" s="18">
        <f t="shared" si="61"/>
        <v>5.490000000000009</v>
      </c>
      <c r="GM71" s="19">
        <f t="shared" si="62"/>
        <v>-0.6352089520342564</v>
      </c>
      <c r="GN71" s="15">
        <f t="shared" si="63"/>
        <v>4.854791047965753</v>
      </c>
      <c r="GO71" s="11">
        <f t="shared" si="64"/>
        <v>14.078894039100682</v>
      </c>
      <c r="GP71" s="7">
        <f t="shared" si="19"/>
        <v>-2.078890880896763</v>
      </c>
      <c r="GQ71" s="13">
        <f t="shared" si="65"/>
        <v>12.000003158203919</v>
      </c>
      <c r="GR71" s="46">
        <f t="shared" si="66"/>
        <v>496.477336573545</v>
      </c>
      <c r="GS71" s="22">
        <v>2</v>
      </c>
      <c r="GT71" s="7" t="s">
        <v>39</v>
      </c>
      <c r="GU71" s="148">
        <v>18</v>
      </c>
      <c r="GV71" s="148" t="s">
        <v>65</v>
      </c>
      <c r="GW71" s="148" t="s">
        <v>101</v>
      </c>
      <c r="GX71" s="155">
        <v>43795</v>
      </c>
      <c r="GY71" s="156"/>
      <c r="GZ71" s="148">
        <v>239.64000000000001</v>
      </c>
      <c r="HA71" s="157"/>
      <c r="HB71" s="157"/>
      <c r="HC71" s="157">
        <f>430.21+1126.31</f>
        <v>1556.52</v>
      </c>
      <c r="HD71" s="157"/>
      <c r="HE71" s="158">
        <f t="shared" si="20"/>
        <v>1796.16</v>
      </c>
      <c r="HF71" s="18">
        <f t="shared" si="67"/>
        <v>0</v>
      </c>
      <c r="HG71" s="19">
        <f t="shared" si="68"/>
        <v>0</v>
      </c>
      <c r="HH71" s="15">
        <f t="shared" si="69"/>
        <v>0</v>
      </c>
      <c r="HI71" s="11">
        <f t="shared" si="70"/>
        <v>0</v>
      </c>
      <c r="HJ71" s="7">
        <f t="shared" si="71"/>
        <v>0</v>
      </c>
      <c r="HK71" s="13">
        <f t="shared" si="72"/>
        <v>0</v>
      </c>
      <c r="HL71" s="46">
        <f t="shared" si="73"/>
        <v>496.477336573545</v>
      </c>
      <c r="HM71" s="22">
        <v>2</v>
      </c>
      <c r="HN71" s="7" t="s">
        <v>39</v>
      </c>
      <c r="HO71" s="12">
        <v>18</v>
      </c>
      <c r="HP71" s="7" t="s">
        <v>65</v>
      </c>
      <c r="HQ71" s="7" t="s">
        <v>101</v>
      </c>
      <c r="HR71" s="8">
        <v>43830</v>
      </c>
      <c r="HS71" s="171"/>
      <c r="HT71" s="7">
        <v>239.64000000000001</v>
      </c>
      <c r="HU71" s="7"/>
      <c r="HV71" s="7"/>
      <c r="HW71" s="7">
        <v>1556.52</v>
      </c>
      <c r="HX71" s="7"/>
      <c r="HY71" s="17">
        <v>1796.16</v>
      </c>
      <c r="HZ71" s="18">
        <f t="shared" si="74"/>
        <v>0</v>
      </c>
      <c r="IA71" s="19">
        <f t="shared" si="75"/>
        <v>0</v>
      </c>
      <c r="IB71" s="20">
        <f t="shared" si="76"/>
        <v>0</v>
      </c>
      <c r="IC71" s="11">
        <f t="shared" si="77"/>
        <v>0</v>
      </c>
      <c r="ID71" s="7">
        <f t="shared" si="78"/>
        <v>0</v>
      </c>
      <c r="IE71" s="13">
        <f t="shared" si="79"/>
        <v>0</v>
      </c>
      <c r="IF71" s="46">
        <f t="shared" si="80"/>
        <v>496.477336573545</v>
      </c>
      <c r="IG71" s="22">
        <v>2</v>
      </c>
      <c r="IH71" s="7" t="s">
        <v>39</v>
      </c>
    </row>
    <row r="72" spans="1:242" ht="19.5" customHeight="1">
      <c r="A72" s="10">
        <v>19</v>
      </c>
      <c r="B72" s="6" t="s">
        <v>66</v>
      </c>
      <c r="C72" s="6" t="s">
        <v>18</v>
      </c>
      <c r="D72" s="5">
        <v>43100</v>
      </c>
      <c r="F72" s="6">
        <v>851.75</v>
      </c>
      <c r="H72" s="6">
        <v>851.75</v>
      </c>
      <c r="J72" s="6">
        <v>2.7200000000000273</v>
      </c>
      <c r="K72" s="6">
        <v>-0.39040724054001474</v>
      </c>
      <c r="L72" s="6">
        <v>2.3295927594600125</v>
      </c>
      <c r="M72" s="6">
        <v>6.173420812569033</v>
      </c>
      <c r="N72" s="6">
        <v>-1008.7463762210645</v>
      </c>
      <c r="O72" s="10">
        <v>1</v>
      </c>
      <c r="P72" s="6" t="s">
        <v>39</v>
      </c>
      <c r="Q72" s="1">
        <v>19</v>
      </c>
      <c r="R72" s="56" t="s">
        <v>66</v>
      </c>
      <c r="S72" s="54">
        <v>1200.64</v>
      </c>
      <c r="T72" s="55">
        <v>-69.53513592897839</v>
      </c>
      <c r="U72" s="2" t="s">
        <v>18</v>
      </c>
      <c r="V72" s="30">
        <v>43496</v>
      </c>
      <c r="W72" s="37"/>
      <c r="X72" s="31">
        <v>1203.6200000000001</v>
      </c>
      <c r="Y72" s="31"/>
      <c r="Z72" s="31"/>
      <c r="AA72" s="31"/>
      <c r="AB72" s="31"/>
      <c r="AC72" s="57">
        <f t="shared" si="6"/>
        <v>1203.6200000000001</v>
      </c>
      <c r="AD72" s="34">
        <f t="shared" si="7"/>
        <v>2.980000000000018</v>
      </c>
      <c r="AE72" s="38">
        <f t="shared" si="8"/>
        <v>0.40138432512639116</v>
      </c>
      <c r="AF72" s="39">
        <f t="shared" si="9"/>
        <v>3.3813843251264095</v>
      </c>
      <c r="AG72" s="4">
        <f t="shared" si="21"/>
        <v>9.366434580600155</v>
      </c>
      <c r="AH72" s="40">
        <f t="shared" si="10"/>
        <v>-60.168701348378235</v>
      </c>
      <c r="AI72" s="41">
        <v>1</v>
      </c>
      <c r="AJ72" s="36" t="s">
        <v>39</v>
      </c>
      <c r="AK72" s="1">
        <v>19</v>
      </c>
      <c r="AL72" s="2" t="s">
        <v>66</v>
      </c>
      <c r="AM72" s="2" t="s">
        <v>18</v>
      </c>
      <c r="AN72" s="72">
        <v>43521</v>
      </c>
      <c r="AO72" s="73"/>
      <c r="AP72" s="74">
        <v>1206.02</v>
      </c>
      <c r="AQ72" s="74"/>
      <c r="AR72" s="74"/>
      <c r="AS72" s="74"/>
      <c r="AT72" s="74"/>
      <c r="AU72" s="79">
        <f t="shared" si="11"/>
        <v>1206.02</v>
      </c>
      <c r="AV72" s="81">
        <f t="shared" si="12"/>
        <v>2.3999999999998636</v>
      </c>
      <c r="AW72" s="80">
        <f t="shared" si="13"/>
        <v>1.2465782790944075</v>
      </c>
      <c r="AX72" s="85">
        <f t="shared" si="22"/>
        <v>3.646578279094271</v>
      </c>
      <c r="AY72" s="91">
        <f t="shared" si="23"/>
        <v>10.27575542118033</v>
      </c>
      <c r="AZ72" s="88">
        <f t="shared" si="24"/>
        <v>-49.89294592719791</v>
      </c>
      <c r="BA72" s="22">
        <v>1</v>
      </c>
      <c r="BB72" s="7" t="s">
        <v>39</v>
      </c>
      <c r="BC72" s="12">
        <v>19</v>
      </c>
      <c r="BD72" s="7" t="s">
        <v>66</v>
      </c>
      <c r="BE72" s="7" t="s">
        <v>18</v>
      </c>
      <c r="BF72" s="8">
        <v>43555</v>
      </c>
      <c r="BG72" s="16"/>
      <c r="BH72" s="7">
        <v>1209.16</v>
      </c>
      <c r="BI72" s="7"/>
      <c r="BJ72" s="7"/>
      <c r="BK72" s="7"/>
      <c r="BL72" s="7"/>
      <c r="BM72" s="17">
        <f t="shared" si="14"/>
        <v>1209.16</v>
      </c>
      <c r="BN72" s="18">
        <f t="shared" si="25"/>
        <v>3.1400000000001</v>
      </c>
      <c r="BO72" s="19">
        <f t="shared" si="26"/>
        <v>-0.9307017651056333</v>
      </c>
      <c r="BP72" s="15">
        <f t="shared" si="27"/>
        <v>2.209298234894467</v>
      </c>
      <c r="BQ72" s="11">
        <f t="shared" si="28"/>
        <v>6.230221022402397</v>
      </c>
      <c r="BR72" s="46">
        <f t="shared" si="29"/>
        <v>-43.66272490479551</v>
      </c>
      <c r="BS72" s="22">
        <v>1</v>
      </c>
      <c r="BT72" s="7" t="s">
        <v>39</v>
      </c>
      <c r="BU72" s="12">
        <v>19</v>
      </c>
      <c r="BV72" s="7" t="s">
        <v>66</v>
      </c>
      <c r="BW72" s="7" t="s">
        <v>18</v>
      </c>
      <c r="BX72" s="8">
        <v>43585</v>
      </c>
      <c r="BY72" s="16"/>
      <c r="BZ72" s="7">
        <v>1212.1000000000001</v>
      </c>
      <c r="CA72" s="7"/>
      <c r="CB72" s="7"/>
      <c r="CC72" s="7"/>
      <c r="CD72" s="7"/>
      <c r="CE72" s="17">
        <v>1212.1000000000001</v>
      </c>
      <c r="CF72" s="18">
        <f t="shared" si="30"/>
        <v>2.9400000000000546</v>
      </c>
      <c r="CG72" s="19">
        <f t="shared" si="31"/>
        <v>0.15789202089182458</v>
      </c>
      <c r="CH72" s="20">
        <f t="shared" si="32"/>
        <v>3.097892020891879</v>
      </c>
      <c r="CI72" s="11">
        <f t="shared" si="33"/>
        <v>8.736055498915098</v>
      </c>
      <c r="CJ72" s="46">
        <f t="shared" si="34"/>
        <v>-34.92666940588041</v>
      </c>
      <c r="CK72" s="22">
        <v>1</v>
      </c>
      <c r="CL72" s="7" t="s">
        <v>39</v>
      </c>
      <c r="CM72" s="12">
        <v>19</v>
      </c>
      <c r="CN72" s="7" t="s">
        <v>66</v>
      </c>
      <c r="CO72" s="7" t="s">
        <v>18</v>
      </c>
      <c r="CP72" s="8">
        <v>43615</v>
      </c>
      <c r="CQ72" s="16"/>
      <c r="CR72" s="7">
        <v>1271.8700000000001</v>
      </c>
      <c r="CS72" s="7"/>
      <c r="CT72" s="7"/>
      <c r="CU72" s="7"/>
      <c r="CV72" s="7"/>
      <c r="CW72" s="17">
        <v>1271.8700000000001</v>
      </c>
      <c r="CX72" s="18">
        <f t="shared" si="35"/>
        <v>59.76999999999998</v>
      </c>
      <c r="CY72" s="19">
        <f t="shared" si="36"/>
        <v>25.744958484332614</v>
      </c>
      <c r="CZ72" s="15">
        <f t="shared" si="37"/>
        <v>85.5149584843326</v>
      </c>
      <c r="DA72" s="11">
        <f t="shared" si="38"/>
        <v>241.1521829258179</v>
      </c>
      <c r="DB72" s="46">
        <f t="shared" si="39"/>
        <v>206.2255135199375</v>
      </c>
      <c r="DC72" s="22">
        <v>1</v>
      </c>
      <c r="DD72" s="7" t="s">
        <v>39</v>
      </c>
      <c r="DE72" s="1">
        <v>19</v>
      </c>
      <c r="DF72" s="2" t="s">
        <v>66</v>
      </c>
      <c r="DG72" s="2" t="s">
        <v>18</v>
      </c>
      <c r="DH72" s="30">
        <v>43646</v>
      </c>
      <c r="DI72" s="37">
        <v>1000</v>
      </c>
      <c r="DJ72" s="31">
        <v>1345.65</v>
      </c>
      <c r="DK72" s="58"/>
      <c r="DL72" s="58"/>
      <c r="DM72" s="58"/>
      <c r="DN72" s="35"/>
      <c r="DO72" s="57">
        <f t="shared" si="15"/>
        <v>1345.65</v>
      </c>
      <c r="DP72" s="18">
        <f t="shared" si="40"/>
        <v>73.77999999999997</v>
      </c>
      <c r="DQ72" s="19">
        <f t="shared" si="41"/>
        <v>-1.3627478509405286</v>
      </c>
      <c r="DR72" s="15">
        <f t="shared" si="42"/>
        <v>72.41725214905945</v>
      </c>
      <c r="DS72" s="11">
        <f t="shared" si="43"/>
        <v>204.21665106034763</v>
      </c>
      <c r="DT72" s="46">
        <f t="shared" si="44"/>
        <v>-589.5578354197148</v>
      </c>
      <c r="DU72" s="22">
        <v>1</v>
      </c>
      <c r="DV72" s="7" t="s">
        <v>39</v>
      </c>
      <c r="DW72" s="12">
        <v>19</v>
      </c>
      <c r="DX72" s="7" t="s">
        <v>66</v>
      </c>
      <c r="DY72" s="7" t="s">
        <v>18</v>
      </c>
      <c r="DZ72" s="8">
        <v>43677</v>
      </c>
      <c r="EA72" s="16"/>
      <c r="EB72" s="7">
        <v>1401.45</v>
      </c>
      <c r="EC72" s="7"/>
      <c r="ED72" s="7"/>
      <c r="EE72" s="7"/>
      <c r="EF72" s="7"/>
      <c r="EG72" s="17">
        <v>1401.45</v>
      </c>
      <c r="EH72" s="18">
        <f t="shared" si="45"/>
        <v>55.799999999999955</v>
      </c>
      <c r="EI72" s="19">
        <f t="shared" si="46"/>
        <v>9.638698035476818</v>
      </c>
      <c r="EJ72" s="15">
        <f t="shared" si="47"/>
        <v>65.43869803547678</v>
      </c>
      <c r="EK72" s="11">
        <f t="shared" si="48"/>
        <v>189.77222430288265</v>
      </c>
      <c r="EL72" s="125">
        <f t="shared" si="49"/>
        <v>-399.7856111168322</v>
      </c>
      <c r="EM72" s="22">
        <v>1</v>
      </c>
      <c r="EN72" s="7" t="s">
        <v>39</v>
      </c>
      <c r="EO72" s="12">
        <v>19</v>
      </c>
      <c r="EP72" s="7" t="s">
        <v>66</v>
      </c>
      <c r="EQ72" s="7" t="s">
        <v>18</v>
      </c>
      <c r="ER72" s="8">
        <v>43708</v>
      </c>
      <c r="ES72" s="16"/>
      <c r="ET72" s="7">
        <v>1467.77</v>
      </c>
      <c r="EU72" s="7"/>
      <c r="EV72" s="7"/>
      <c r="EW72" s="7"/>
      <c r="EX72" s="7"/>
      <c r="EY72" s="17">
        <f t="shared" si="16"/>
        <v>1467.77</v>
      </c>
      <c r="EZ72" s="18">
        <f t="shared" si="50"/>
        <v>66.31999999999994</v>
      </c>
      <c r="FA72" s="19">
        <f t="shared" si="51"/>
        <v>7.5542156973659305</v>
      </c>
      <c r="FB72" s="15">
        <f t="shared" si="52"/>
        <v>73.87421569736587</v>
      </c>
      <c r="FC72" s="11">
        <f t="shared" si="53"/>
        <v>214.23522552236102</v>
      </c>
      <c r="FD72" s="21">
        <f t="shared" si="54"/>
        <v>-185.55038559447115</v>
      </c>
      <c r="FE72" s="22">
        <v>1</v>
      </c>
      <c r="FF72" s="7" t="s">
        <v>39</v>
      </c>
      <c r="FG72" s="7">
        <v>19</v>
      </c>
      <c r="FH72" s="7" t="s">
        <v>66</v>
      </c>
      <c r="FI72" s="7" t="s">
        <v>18</v>
      </c>
      <c r="FJ72" s="8">
        <v>43735</v>
      </c>
      <c r="FK72" s="16"/>
      <c r="FL72" s="7">
        <v>1497.94</v>
      </c>
      <c r="FM72" s="7"/>
      <c r="FN72" s="7"/>
      <c r="FO72" s="7"/>
      <c r="FP72" s="7"/>
      <c r="FQ72" s="17">
        <v>1497.94</v>
      </c>
      <c r="FR72" s="18">
        <f t="shared" si="55"/>
        <v>30.170000000000073</v>
      </c>
      <c r="FS72" s="19">
        <f t="shared" si="56"/>
        <v>0.22574687389803916</v>
      </c>
      <c r="FT72" s="15">
        <f t="shared" si="57"/>
        <v>30.395746873898112</v>
      </c>
      <c r="FU72" s="11">
        <f t="shared" si="58"/>
        <v>88.14766593430453</v>
      </c>
      <c r="FV72" s="128">
        <f t="shared" si="17"/>
        <v>-6.6937461157675</v>
      </c>
      <c r="FW72" s="13">
        <f t="shared" si="59"/>
        <v>81.45391981853703</v>
      </c>
      <c r="FX72" s="21">
        <f t="shared" si="60"/>
        <v>-104.09646577593412</v>
      </c>
      <c r="FY72" s="22">
        <v>1</v>
      </c>
      <c r="FZ72" s="7" t="s">
        <v>39</v>
      </c>
      <c r="GA72" s="134">
        <v>19</v>
      </c>
      <c r="GB72" s="135" t="s">
        <v>66</v>
      </c>
      <c r="GC72" s="135" t="s">
        <v>18</v>
      </c>
      <c r="GD72" s="136">
        <v>43771</v>
      </c>
      <c r="GE72" s="138"/>
      <c r="GF72" s="139">
        <v>1551.28</v>
      </c>
      <c r="GG72" s="3"/>
      <c r="GH72" s="3"/>
      <c r="GI72" s="3"/>
      <c r="GJ72" s="3"/>
      <c r="GK72" s="32">
        <f t="shared" si="18"/>
        <v>1551.28</v>
      </c>
      <c r="GL72" s="18">
        <f t="shared" si="61"/>
        <v>53.33999999999992</v>
      </c>
      <c r="GM72" s="19">
        <f t="shared" si="62"/>
        <v>-6.1715929875240665</v>
      </c>
      <c r="GN72" s="15">
        <f t="shared" si="63"/>
        <v>47.16840701247585</v>
      </c>
      <c r="GO72" s="11">
        <f t="shared" si="64"/>
        <v>136.78838033617998</v>
      </c>
      <c r="GP72" s="7">
        <f t="shared" si="19"/>
        <v>-20.19818571712805</v>
      </c>
      <c r="GQ72" s="13">
        <f t="shared" si="65"/>
        <v>116.59019461905193</v>
      </c>
      <c r="GR72" s="46">
        <f t="shared" si="66"/>
        <v>12.493728843117808</v>
      </c>
      <c r="GS72" s="22">
        <v>1</v>
      </c>
      <c r="GT72" s="7" t="s">
        <v>39</v>
      </c>
      <c r="GU72" s="148">
        <v>19</v>
      </c>
      <c r="GV72" s="148" t="s">
        <v>66</v>
      </c>
      <c r="GW72" s="148" t="s">
        <v>18</v>
      </c>
      <c r="GX72" s="155">
        <v>43799</v>
      </c>
      <c r="GY72" s="156"/>
      <c r="GZ72" s="148">
        <v>1553.95</v>
      </c>
      <c r="HA72" s="157"/>
      <c r="HB72" s="157"/>
      <c r="HC72" s="157"/>
      <c r="HD72" s="157"/>
      <c r="HE72" s="158">
        <f t="shared" si="20"/>
        <v>1553.95</v>
      </c>
      <c r="HF72" s="18">
        <f t="shared" si="67"/>
        <v>2.6700000000000728</v>
      </c>
      <c r="HG72" s="19">
        <f t="shared" si="68"/>
        <v>0.6544185824911182</v>
      </c>
      <c r="HH72" s="15">
        <f t="shared" si="69"/>
        <v>3.324418582491191</v>
      </c>
      <c r="HI72" s="11">
        <f t="shared" si="70"/>
        <v>9.640813889224454</v>
      </c>
      <c r="HJ72" s="7">
        <f t="shared" si="71"/>
        <v>-1.2201973103286543</v>
      </c>
      <c r="HK72" s="13">
        <f t="shared" si="72"/>
        <v>8.4206165788958</v>
      </c>
      <c r="HL72" s="46">
        <f t="shared" si="73"/>
        <v>20.914345422013607</v>
      </c>
      <c r="HM72" s="22">
        <v>1</v>
      </c>
      <c r="HN72" s="7" t="s">
        <v>39</v>
      </c>
      <c r="HO72" s="12">
        <v>19</v>
      </c>
      <c r="HP72" s="7" t="s">
        <v>66</v>
      </c>
      <c r="HQ72" s="7" t="s">
        <v>18</v>
      </c>
      <c r="HR72" s="8">
        <v>43830</v>
      </c>
      <c r="HS72" s="171">
        <v>2000</v>
      </c>
      <c r="HT72" s="7">
        <v>1556.54</v>
      </c>
      <c r="HU72" s="7"/>
      <c r="HV72" s="7"/>
      <c r="HW72" s="7"/>
      <c r="HX72" s="7"/>
      <c r="HY72" s="17">
        <v>1556.54</v>
      </c>
      <c r="HZ72" s="18">
        <f t="shared" si="74"/>
        <v>2.589999999999918</v>
      </c>
      <c r="IA72" s="19">
        <f t="shared" si="75"/>
        <v>0.31079999999999036</v>
      </c>
      <c r="IB72" s="20">
        <f t="shared" si="76"/>
        <v>2.9007999999999083</v>
      </c>
      <c r="IC72" s="11">
        <f t="shared" si="77"/>
        <v>8.412319999999735</v>
      </c>
      <c r="ID72" s="7">
        <f t="shared" si="78"/>
        <v>-0.8557184788251148</v>
      </c>
      <c r="IE72" s="13">
        <f t="shared" si="79"/>
        <v>7.55660152117462</v>
      </c>
      <c r="IF72" s="46">
        <f t="shared" si="80"/>
        <v>-1971.5290530568118</v>
      </c>
      <c r="IG72" s="22">
        <v>1</v>
      </c>
      <c r="IH72" s="7" t="s">
        <v>39</v>
      </c>
    </row>
    <row r="73" spans="1:242" ht="19.5" customHeight="1">
      <c r="A73" s="10">
        <v>20</v>
      </c>
      <c r="B73" s="6" t="s">
        <v>67</v>
      </c>
      <c r="C73" s="6" t="s">
        <v>49</v>
      </c>
      <c r="D73" s="5">
        <v>43100</v>
      </c>
      <c r="E73" s="6">
        <v>9500</v>
      </c>
      <c r="F73" s="6">
        <v>29208.74</v>
      </c>
      <c r="H73" s="6">
        <v>29208.74</v>
      </c>
      <c r="J73" s="6">
        <v>3474.2999999999993</v>
      </c>
      <c r="K73" s="6">
        <v>-498.67348375299974</v>
      </c>
      <c r="L73" s="6">
        <v>2975.6265162469995</v>
      </c>
      <c r="M73" s="6">
        <v>7885.410268054548</v>
      </c>
      <c r="N73" s="6">
        <v>7587.598710817346</v>
      </c>
      <c r="O73" s="10">
        <v>1</v>
      </c>
      <c r="P73" s="6" t="s">
        <v>39</v>
      </c>
      <c r="Q73" s="1">
        <v>20</v>
      </c>
      <c r="R73" s="56" t="s">
        <v>67</v>
      </c>
      <c r="S73" s="54">
        <v>49776.25</v>
      </c>
      <c r="T73" s="55">
        <v>17016.701031821452</v>
      </c>
      <c r="U73" s="2" t="s">
        <v>49</v>
      </c>
      <c r="V73" s="30">
        <v>43496</v>
      </c>
      <c r="W73" s="37">
        <v>6600</v>
      </c>
      <c r="X73" s="31">
        <v>52678.8</v>
      </c>
      <c r="Y73" s="31"/>
      <c r="Z73" s="31"/>
      <c r="AA73" s="31"/>
      <c r="AB73" s="31">
        <v>2917.13</v>
      </c>
      <c r="AC73" s="57">
        <f t="shared" si="6"/>
        <v>52678.8</v>
      </c>
      <c r="AD73" s="34">
        <f t="shared" si="7"/>
        <v>2902.550000000003</v>
      </c>
      <c r="AE73" s="38">
        <f t="shared" si="8"/>
        <v>390.9523734548996</v>
      </c>
      <c r="AF73" s="39">
        <f t="shared" si="9"/>
        <v>3293.5023734549027</v>
      </c>
      <c r="AG73" s="4">
        <f t="shared" si="21"/>
        <v>9123.001574470081</v>
      </c>
      <c r="AH73" s="40">
        <f t="shared" si="10"/>
        <v>19539.702606291532</v>
      </c>
      <c r="AI73" s="41">
        <v>2</v>
      </c>
      <c r="AJ73" s="36" t="s">
        <v>39</v>
      </c>
      <c r="AK73" s="1">
        <v>20</v>
      </c>
      <c r="AL73" s="2" t="s">
        <v>67</v>
      </c>
      <c r="AM73" s="2" t="s">
        <v>49</v>
      </c>
      <c r="AN73" s="72">
        <v>43521</v>
      </c>
      <c r="AO73" s="73">
        <v>7000</v>
      </c>
      <c r="AP73" s="74">
        <v>55140.99</v>
      </c>
      <c r="AQ73" s="74"/>
      <c r="AR73" s="74"/>
      <c r="AS73" s="74"/>
      <c r="AT73" s="74">
        <v>2917.13</v>
      </c>
      <c r="AU73" s="79">
        <f t="shared" si="11"/>
        <v>55140.99</v>
      </c>
      <c r="AV73" s="81">
        <f t="shared" si="12"/>
        <v>2462.189999999995</v>
      </c>
      <c r="AW73" s="80">
        <f t="shared" si="13"/>
        <v>1278.8802387515116</v>
      </c>
      <c r="AX73" s="85">
        <f t="shared" si="22"/>
        <v>3741.0702387515066</v>
      </c>
      <c r="AY73" s="91">
        <f t="shared" si="23"/>
        <v>10542.025933532243</v>
      </c>
      <c r="AZ73" s="88">
        <f t="shared" si="24"/>
        <v>23081.728539823773</v>
      </c>
      <c r="BA73" s="22">
        <v>2</v>
      </c>
      <c r="BB73" s="7" t="s">
        <v>39</v>
      </c>
      <c r="BC73" s="12">
        <v>20</v>
      </c>
      <c r="BD73" s="7" t="s">
        <v>67</v>
      </c>
      <c r="BE73" s="7" t="s">
        <v>49</v>
      </c>
      <c r="BF73" s="8">
        <v>43555</v>
      </c>
      <c r="BG73" s="16">
        <v>20040</v>
      </c>
      <c r="BH73" s="7">
        <v>57296.58</v>
      </c>
      <c r="BI73" s="7"/>
      <c r="BJ73" s="7"/>
      <c r="BK73" s="7"/>
      <c r="BL73" s="7">
        <v>2917.13</v>
      </c>
      <c r="BM73" s="17">
        <f t="shared" si="14"/>
        <v>57296.58</v>
      </c>
      <c r="BN73" s="18">
        <f t="shared" si="25"/>
        <v>2155.590000000004</v>
      </c>
      <c r="BO73" s="19">
        <f t="shared" si="26"/>
        <v>-638.9208337082775</v>
      </c>
      <c r="BP73" s="15">
        <f t="shared" si="27"/>
        <v>1516.6691662917262</v>
      </c>
      <c r="BQ73" s="11">
        <f t="shared" si="28"/>
        <v>4277.007048942668</v>
      </c>
      <c r="BR73" s="46">
        <f t="shared" si="29"/>
        <v>7318.735588766441</v>
      </c>
      <c r="BS73" s="22">
        <v>2</v>
      </c>
      <c r="BT73" s="7" t="s">
        <v>39</v>
      </c>
      <c r="BU73" s="12">
        <v>20</v>
      </c>
      <c r="BV73" s="7" t="s">
        <v>67</v>
      </c>
      <c r="BW73" s="7" t="s">
        <v>49</v>
      </c>
      <c r="BX73" s="8">
        <v>43585</v>
      </c>
      <c r="BY73" s="16">
        <v>10000</v>
      </c>
      <c r="BZ73" s="7">
        <v>58574.35</v>
      </c>
      <c r="CA73" s="7"/>
      <c r="CB73" s="7"/>
      <c r="CC73" s="7"/>
      <c r="CD73" s="7">
        <v>2917.13</v>
      </c>
      <c r="CE73" s="17">
        <v>58574.35</v>
      </c>
      <c r="CF73" s="18">
        <f t="shared" si="30"/>
        <v>1277.7699999999968</v>
      </c>
      <c r="CG73" s="19">
        <f t="shared" si="31"/>
        <v>68.62234269896001</v>
      </c>
      <c r="CH73" s="20">
        <f t="shared" si="32"/>
        <v>1346.3923426989568</v>
      </c>
      <c r="CI73" s="11">
        <f t="shared" si="33"/>
        <v>3796.826406411058</v>
      </c>
      <c r="CJ73" s="46">
        <f t="shared" si="34"/>
        <v>1115.5619951774988</v>
      </c>
      <c r="CK73" s="22">
        <v>2</v>
      </c>
      <c r="CL73" s="7" t="s">
        <v>39</v>
      </c>
      <c r="CM73" s="12">
        <v>20</v>
      </c>
      <c r="CN73" s="7" t="s">
        <v>67</v>
      </c>
      <c r="CO73" s="7" t="s">
        <v>49</v>
      </c>
      <c r="CP73" s="8">
        <v>43615</v>
      </c>
      <c r="CQ73" s="16"/>
      <c r="CR73" s="7">
        <v>59526.71</v>
      </c>
      <c r="CS73" s="7"/>
      <c r="CT73" s="7"/>
      <c r="CU73" s="7"/>
      <c r="CV73" s="7">
        <v>2917.13</v>
      </c>
      <c r="CW73" s="17">
        <v>59526.71</v>
      </c>
      <c r="CX73" s="18">
        <f t="shared" si="35"/>
        <v>952.3600000000006</v>
      </c>
      <c r="CY73" s="19">
        <f t="shared" si="36"/>
        <v>410.2136299504606</v>
      </c>
      <c r="CZ73" s="15">
        <f t="shared" si="37"/>
        <v>1362.573629950461</v>
      </c>
      <c r="DA73" s="11">
        <f t="shared" si="38"/>
        <v>3842.4576364603</v>
      </c>
      <c r="DB73" s="46">
        <f t="shared" si="39"/>
        <v>4958.019631637799</v>
      </c>
      <c r="DC73" s="22">
        <v>2</v>
      </c>
      <c r="DD73" s="7" t="s">
        <v>39</v>
      </c>
      <c r="DE73" s="1">
        <v>20</v>
      </c>
      <c r="DF73" s="2" t="s">
        <v>67</v>
      </c>
      <c r="DG73" s="2" t="s">
        <v>49</v>
      </c>
      <c r="DH73" s="30">
        <v>43646</v>
      </c>
      <c r="DI73" s="37"/>
      <c r="DJ73" s="31">
        <v>60100.01</v>
      </c>
      <c r="DK73" s="58"/>
      <c r="DL73" s="58"/>
      <c r="DM73" s="58"/>
      <c r="DN73" s="35">
        <v>2917.13</v>
      </c>
      <c r="DO73" s="57">
        <f t="shared" si="15"/>
        <v>60100.01</v>
      </c>
      <c r="DP73" s="18">
        <f t="shared" si="40"/>
        <v>573.3000000000029</v>
      </c>
      <c r="DQ73" s="19">
        <f t="shared" si="41"/>
        <v>-10.589093832260902</v>
      </c>
      <c r="DR73" s="15">
        <f t="shared" si="42"/>
        <v>562.710906167742</v>
      </c>
      <c r="DS73" s="11">
        <f t="shared" si="43"/>
        <v>1586.8447553930323</v>
      </c>
      <c r="DT73" s="46">
        <f t="shared" si="44"/>
        <v>6544.8643870308315</v>
      </c>
      <c r="DU73" s="22">
        <v>2</v>
      </c>
      <c r="DV73" s="7" t="s">
        <v>39</v>
      </c>
      <c r="DW73" s="12">
        <v>20</v>
      </c>
      <c r="DX73" s="7" t="s">
        <v>67</v>
      </c>
      <c r="DY73" s="7" t="s">
        <v>49</v>
      </c>
      <c r="DZ73" s="8">
        <v>43677</v>
      </c>
      <c r="EA73" s="16">
        <v>8000</v>
      </c>
      <c r="EB73" s="7">
        <v>60620.61</v>
      </c>
      <c r="EC73" s="7"/>
      <c r="ED73" s="7"/>
      <c r="EE73" s="7"/>
      <c r="EF73" s="7">
        <v>2917.13</v>
      </c>
      <c r="EG73" s="17">
        <v>60620.61</v>
      </c>
      <c r="EH73" s="18">
        <f t="shared" si="45"/>
        <v>520.5999999999985</v>
      </c>
      <c r="EI73" s="19">
        <f t="shared" si="46"/>
        <v>89.92663435966347</v>
      </c>
      <c r="EJ73" s="15">
        <f t="shared" si="47"/>
        <v>610.526634359662</v>
      </c>
      <c r="EK73" s="11">
        <f t="shared" si="48"/>
        <v>1770.5272396430198</v>
      </c>
      <c r="EL73" s="125">
        <f t="shared" si="49"/>
        <v>315.3916266738513</v>
      </c>
      <c r="EM73" s="22">
        <v>2</v>
      </c>
      <c r="EN73" s="7" t="s">
        <v>39</v>
      </c>
      <c r="EO73" s="12">
        <v>20</v>
      </c>
      <c r="EP73" s="7" t="s">
        <v>67</v>
      </c>
      <c r="EQ73" s="7" t="s">
        <v>49</v>
      </c>
      <c r="ER73" s="8">
        <v>43708</v>
      </c>
      <c r="ES73" s="16">
        <v>1000</v>
      </c>
      <c r="ET73" s="7">
        <v>61180.450000000004</v>
      </c>
      <c r="EU73" s="7"/>
      <c r="EV73" s="7"/>
      <c r="EW73" s="7"/>
      <c r="EX73" s="7">
        <v>2917.13</v>
      </c>
      <c r="EY73" s="17">
        <f t="shared" si="16"/>
        <v>61180.450000000004</v>
      </c>
      <c r="EZ73" s="18">
        <f t="shared" si="50"/>
        <v>559.8400000000038</v>
      </c>
      <c r="FA73" s="19">
        <f t="shared" si="51"/>
        <v>63.76887991576259</v>
      </c>
      <c r="FB73" s="15">
        <f t="shared" si="52"/>
        <v>623.6088799157664</v>
      </c>
      <c r="FC73" s="11">
        <f t="shared" si="53"/>
        <v>1808.4657517557223</v>
      </c>
      <c r="FD73" s="21">
        <f t="shared" si="54"/>
        <v>1123.8573784295736</v>
      </c>
      <c r="FE73" s="22">
        <v>2</v>
      </c>
      <c r="FF73" s="7" t="s">
        <v>39</v>
      </c>
      <c r="FG73" s="7">
        <v>20</v>
      </c>
      <c r="FH73" s="7" t="s">
        <v>67</v>
      </c>
      <c r="FI73" s="7" t="s">
        <v>49</v>
      </c>
      <c r="FJ73" s="8">
        <v>43735</v>
      </c>
      <c r="FK73" s="16">
        <v>1500</v>
      </c>
      <c r="FL73" s="7">
        <v>61696</v>
      </c>
      <c r="FM73" s="7"/>
      <c r="FN73" s="7"/>
      <c r="FO73" s="7"/>
      <c r="FP73" s="7">
        <v>2917.13</v>
      </c>
      <c r="FQ73" s="17">
        <v>61696</v>
      </c>
      <c r="FR73" s="18">
        <f t="shared" si="55"/>
        <v>515.5499999999956</v>
      </c>
      <c r="FS73" s="19">
        <f t="shared" si="56"/>
        <v>3.857600292944409</v>
      </c>
      <c r="FT73" s="15">
        <f t="shared" si="57"/>
        <v>519.4076002929401</v>
      </c>
      <c r="FU73" s="11">
        <f t="shared" si="58"/>
        <v>1506.282040849526</v>
      </c>
      <c r="FV73" s="128">
        <f t="shared" si="17"/>
        <v>-114.38385183904198</v>
      </c>
      <c r="FW73" s="13">
        <f t="shared" si="59"/>
        <v>1391.8981890104842</v>
      </c>
      <c r="FX73" s="21">
        <f t="shared" si="60"/>
        <v>1015.7555674400578</v>
      </c>
      <c r="FY73" s="22">
        <v>2</v>
      </c>
      <c r="FZ73" s="7" t="s">
        <v>39</v>
      </c>
      <c r="GA73" s="134">
        <v>20</v>
      </c>
      <c r="GB73" s="135" t="s">
        <v>67</v>
      </c>
      <c r="GC73" s="135" t="s">
        <v>49</v>
      </c>
      <c r="GD73" s="136">
        <v>43771</v>
      </c>
      <c r="GE73" s="138">
        <v>1100</v>
      </c>
      <c r="GF73" s="139">
        <v>63052.29</v>
      </c>
      <c r="GG73" s="3"/>
      <c r="GH73" s="3"/>
      <c r="GI73" s="3"/>
      <c r="GJ73" s="3">
        <v>2917.13</v>
      </c>
      <c r="GK73" s="32">
        <f t="shared" si="18"/>
        <v>63052.29</v>
      </c>
      <c r="GL73" s="18">
        <f t="shared" si="61"/>
        <v>1356.2900000000009</v>
      </c>
      <c r="GM73" s="19">
        <f t="shared" si="62"/>
        <v>-156.9266939079309</v>
      </c>
      <c r="GN73" s="15">
        <f t="shared" si="63"/>
        <v>1199.36330609207</v>
      </c>
      <c r="GO73" s="11">
        <f t="shared" si="64"/>
        <v>3478.1535876670027</v>
      </c>
      <c r="GP73" s="7">
        <f t="shared" si="19"/>
        <v>-513.5845014301399</v>
      </c>
      <c r="GQ73" s="13">
        <f t="shared" si="65"/>
        <v>2964.569086236863</v>
      </c>
      <c r="GR73" s="46">
        <f t="shared" si="66"/>
        <v>2880.3246536769207</v>
      </c>
      <c r="GS73" s="22">
        <v>2</v>
      </c>
      <c r="GT73" s="7" t="s">
        <v>39</v>
      </c>
      <c r="GU73" s="148">
        <v>20</v>
      </c>
      <c r="GV73" s="148" t="s">
        <v>67</v>
      </c>
      <c r="GW73" s="148" t="s">
        <v>49</v>
      </c>
      <c r="GX73" s="155">
        <v>43795</v>
      </c>
      <c r="GY73" s="156">
        <v>3500</v>
      </c>
      <c r="GZ73" s="148">
        <v>64703.19</v>
      </c>
      <c r="HA73" s="157"/>
      <c r="HB73" s="157"/>
      <c r="HC73" s="157"/>
      <c r="HD73" s="157">
        <v>2917.13</v>
      </c>
      <c r="HE73" s="158">
        <f t="shared" si="20"/>
        <v>64703.19</v>
      </c>
      <c r="HF73" s="18">
        <f t="shared" si="67"/>
        <v>1650.9000000000015</v>
      </c>
      <c r="HG73" s="19">
        <f t="shared" si="68"/>
        <v>404.63656847736274</v>
      </c>
      <c r="HH73" s="15">
        <f t="shared" si="69"/>
        <v>2055.536568477364</v>
      </c>
      <c r="HI73" s="11">
        <f t="shared" si="70"/>
        <v>5961.056048584356</v>
      </c>
      <c r="HJ73" s="7">
        <f t="shared" si="71"/>
        <v>-754.4658200829672</v>
      </c>
      <c r="HK73" s="13">
        <f t="shared" si="72"/>
        <v>5206.590228501389</v>
      </c>
      <c r="HL73" s="46">
        <f t="shared" si="73"/>
        <v>4586.914882178309</v>
      </c>
      <c r="HM73" s="22">
        <v>2</v>
      </c>
      <c r="HN73" s="7" t="s">
        <v>39</v>
      </c>
      <c r="HO73" s="12">
        <v>20</v>
      </c>
      <c r="HP73" s="7" t="s">
        <v>67</v>
      </c>
      <c r="HQ73" s="7" t="s">
        <v>49</v>
      </c>
      <c r="HR73" s="8">
        <v>43830</v>
      </c>
      <c r="HS73" s="171">
        <v>4600</v>
      </c>
      <c r="HT73" s="7">
        <v>67538.09</v>
      </c>
      <c r="HU73" s="7"/>
      <c r="HV73" s="7"/>
      <c r="HW73" s="7"/>
      <c r="HX73" s="7">
        <v>2917.13</v>
      </c>
      <c r="HY73" s="17">
        <v>67538.09</v>
      </c>
      <c r="HZ73" s="18">
        <f t="shared" si="74"/>
        <v>2834.899999999994</v>
      </c>
      <c r="IA73" s="19">
        <f t="shared" si="75"/>
        <v>340.18799999999953</v>
      </c>
      <c r="IB73" s="20">
        <f t="shared" si="76"/>
        <v>3175.087999999994</v>
      </c>
      <c r="IC73" s="11">
        <f t="shared" si="77"/>
        <v>9207.755199999981</v>
      </c>
      <c r="ID73" s="7">
        <f t="shared" si="78"/>
        <v>-936.6317820932005</v>
      </c>
      <c r="IE73" s="13">
        <f t="shared" si="79"/>
        <v>8271.123417906781</v>
      </c>
      <c r="IF73" s="46">
        <f t="shared" si="80"/>
        <v>8258.03830008509</v>
      </c>
      <c r="IG73" s="22">
        <v>2</v>
      </c>
      <c r="IH73" s="7" t="s">
        <v>39</v>
      </c>
    </row>
    <row r="74" spans="1:242" ht="19.5" customHeight="1">
      <c r="A74" s="10">
        <v>21</v>
      </c>
      <c r="B74" s="6" t="s">
        <v>68</v>
      </c>
      <c r="C74" s="6" t="s">
        <v>12</v>
      </c>
      <c r="D74" s="5">
        <v>43100</v>
      </c>
      <c r="F74" s="6">
        <v>610.19</v>
      </c>
      <c r="H74" s="6">
        <v>610.19</v>
      </c>
      <c r="J74" s="6">
        <v>0</v>
      </c>
      <c r="K74" s="6">
        <v>0</v>
      </c>
      <c r="L74" s="6">
        <v>0</v>
      </c>
      <c r="M74" s="6">
        <v>0</v>
      </c>
      <c r="N74" s="6">
        <v>-388.0474094426676</v>
      </c>
      <c r="O74" s="10">
        <v>1</v>
      </c>
      <c r="P74" s="6" t="s">
        <v>39</v>
      </c>
      <c r="Q74" s="1">
        <v>21</v>
      </c>
      <c r="R74" s="56" t="s">
        <v>68</v>
      </c>
      <c r="S74" s="54">
        <v>1022.49</v>
      </c>
      <c r="T74" s="55">
        <v>-315.7243910409565</v>
      </c>
      <c r="U74" s="2" t="s">
        <v>12</v>
      </c>
      <c r="V74" s="30">
        <v>43496</v>
      </c>
      <c r="W74" s="37"/>
      <c r="X74" s="31">
        <v>1022.49</v>
      </c>
      <c r="Y74" s="31"/>
      <c r="Z74" s="31"/>
      <c r="AA74" s="31"/>
      <c r="AB74" s="31"/>
      <c r="AC74" s="57">
        <f t="shared" si="6"/>
        <v>1022.49</v>
      </c>
      <c r="AD74" s="34">
        <f t="shared" si="7"/>
        <v>0</v>
      </c>
      <c r="AE74" s="38">
        <f t="shared" si="8"/>
        <v>0</v>
      </c>
      <c r="AF74" s="39">
        <f t="shared" si="9"/>
        <v>0</v>
      </c>
      <c r="AG74" s="4">
        <f t="shared" si="21"/>
        <v>0</v>
      </c>
      <c r="AH74" s="40">
        <f t="shared" si="10"/>
        <v>-315.7243910409565</v>
      </c>
      <c r="AI74" s="41">
        <v>1</v>
      </c>
      <c r="AJ74" s="36" t="s">
        <v>39</v>
      </c>
      <c r="AK74" s="1">
        <v>21</v>
      </c>
      <c r="AL74" s="2" t="s">
        <v>68</v>
      </c>
      <c r="AM74" s="2" t="s">
        <v>12</v>
      </c>
      <c r="AN74" s="72">
        <v>43521</v>
      </c>
      <c r="AO74" s="73"/>
      <c r="AP74" s="74">
        <v>1022.49</v>
      </c>
      <c r="AQ74" s="74"/>
      <c r="AR74" s="74"/>
      <c r="AS74" s="74"/>
      <c r="AT74" s="74"/>
      <c r="AU74" s="79">
        <f t="shared" si="11"/>
        <v>1022.49</v>
      </c>
      <c r="AV74" s="81">
        <f t="shared" si="12"/>
        <v>0</v>
      </c>
      <c r="AW74" s="80">
        <f t="shared" si="13"/>
        <v>0</v>
      </c>
      <c r="AX74" s="85">
        <f t="shared" si="22"/>
        <v>0</v>
      </c>
      <c r="AY74" s="91">
        <f t="shared" si="23"/>
        <v>0</v>
      </c>
      <c r="AZ74" s="88">
        <f t="shared" si="24"/>
        <v>-315.7243910409565</v>
      </c>
      <c r="BA74" s="22">
        <v>1</v>
      </c>
      <c r="BB74" s="7" t="s">
        <v>39</v>
      </c>
      <c r="BC74" s="12">
        <v>21</v>
      </c>
      <c r="BD74" s="7" t="s">
        <v>68</v>
      </c>
      <c r="BE74" s="7" t="s">
        <v>12</v>
      </c>
      <c r="BF74" s="8">
        <v>43555</v>
      </c>
      <c r="BG74" s="16"/>
      <c r="BH74" s="7">
        <v>1022.49</v>
      </c>
      <c r="BI74" s="7"/>
      <c r="BJ74" s="7"/>
      <c r="BK74" s="7"/>
      <c r="BL74" s="7"/>
      <c r="BM74" s="17">
        <f t="shared" si="14"/>
        <v>1022.49</v>
      </c>
      <c r="BN74" s="18">
        <f t="shared" si="25"/>
        <v>0</v>
      </c>
      <c r="BO74" s="19">
        <f t="shared" si="26"/>
        <v>0</v>
      </c>
      <c r="BP74" s="15">
        <f t="shared" si="27"/>
        <v>0</v>
      </c>
      <c r="BQ74" s="11">
        <f t="shared" si="28"/>
        <v>0</v>
      </c>
      <c r="BR74" s="46">
        <f t="shared" si="29"/>
        <v>-315.7243910409565</v>
      </c>
      <c r="BS74" s="22">
        <v>1</v>
      </c>
      <c r="BT74" s="7" t="s">
        <v>39</v>
      </c>
      <c r="BU74" s="12">
        <v>21</v>
      </c>
      <c r="BV74" s="7" t="s">
        <v>68</v>
      </c>
      <c r="BW74" s="7" t="s">
        <v>12</v>
      </c>
      <c r="BX74" s="8">
        <v>43585</v>
      </c>
      <c r="BY74" s="16"/>
      <c r="BZ74" s="7">
        <v>1022.49</v>
      </c>
      <c r="CA74" s="7"/>
      <c r="CB74" s="7"/>
      <c r="CC74" s="7"/>
      <c r="CD74" s="7"/>
      <c r="CE74" s="17">
        <v>1022.49</v>
      </c>
      <c r="CF74" s="18">
        <f t="shared" si="30"/>
        <v>0</v>
      </c>
      <c r="CG74" s="19">
        <f t="shared" si="31"/>
        <v>0</v>
      </c>
      <c r="CH74" s="20">
        <f t="shared" si="32"/>
        <v>0</v>
      </c>
      <c r="CI74" s="11">
        <f t="shared" si="33"/>
        <v>0</v>
      </c>
      <c r="CJ74" s="46">
        <f t="shared" si="34"/>
        <v>-315.7243910409565</v>
      </c>
      <c r="CK74" s="22">
        <v>1</v>
      </c>
      <c r="CL74" s="7" t="s">
        <v>39</v>
      </c>
      <c r="CM74" s="12">
        <v>21</v>
      </c>
      <c r="CN74" s="7" t="s">
        <v>68</v>
      </c>
      <c r="CO74" s="7" t="s">
        <v>12</v>
      </c>
      <c r="CP74" s="8">
        <v>43615</v>
      </c>
      <c r="CQ74" s="16"/>
      <c r="CR74" s="7">
        <v>1022.49</v>
      </c>
      <c r="CS74" s="7"/>
      <c r="CT74" s="7"/>
      <c r="CU74" s="7"/>
      <c r="CV74" s="7"/>
      <c r="CW74" s="17">
        <v>1022.49</v>
      </c>
      <c r="CX74" s="18">
        <f t="shared" si="35"/>
        <v>0</v>
      </c>
      <c r="CY74" s="19">
        <f t="shared" si="36"/>
        <v>0</v>
      </c>
      <c r="CZ74" s="15">
        <f t="shared" si="37"/>
        <v>0</v>
      </c>
      <c r="DA74" s="11">
        <f t="shared" si="38"/>
        <v>0</v>
      </c>
      <c r="DB74" s="46">
        <f t="shared" si="39"/>
        <v>-315.7243910409565</v>
      </c>
      <c r="DC74" s="22">
        <v>1</v>
      </c>
      <c r="DD74" s="7" t="s">
        <v>39</v>
      </c>
      <c r="DE74" s="1">
        <v>21</v>
      </c>
      <c r="DF74" s="2" t="s">
        <v>68</v>
      </c>
      <c r="DG74" s="2" t="s">
        <v>12</v>
      </c>
      <c r="DH74" s="30">
        <v>43646</v>
      </c>
      <c r="DI74" s="37"/>
      <c r="DJ74" s="31">
        <v>1022.5</v>
      </c>
      <c r="DK74" s="58"/>
      <c r="DL74" s="58"/>
      <c r="DM74" s="58"/>
      <c r="DN74" s="35"/>
      <c r="DO74" s="57">
        <f t="shared" si="15"/>
        <v>1022.5</v>
      </c>
      <c r="DP74" s="18">
        <f t="shared" si="40"/>
        <v>0.009999999999990905</v>
      </c>
      <c r="DQ74" s="19">
        <f t="shared" si="41"/>
        <v>-0.00018470423569250335</v>
      </c>
      <c r="DR74" s="15">
        <f t="shared" si="42"/>
        <v>0.009815295764298402</v>
      </c>
      <c r="DS74" s="11">
        <f t="shared" si="43"/>
        <v>0.02767913405532149</v>
      </c>
      <c r="DT74" s="46">
        <f t="shared" si="44"/>
        <v>-315.69671190690116</v>
      </c>
      <c r="DU74" s="22">
        <v>1</v>
      </c>
      <c r="DV74" s="7" t="s">
        <v>39</v>
      </c>
      <c r="DW74" s="12">
        <v>21</v>
      </c>
      <c r="DX74" s="7" t="s">
        <v>68</v>
      </c>
      <c r="DY74" s="7" t="s">
        <v>12</v>
      </c>
      <c r="DZ74" s="8">
        <v>43677</v>
      </c>
      <c r="EA74" s="16"/>
      <c r="EB74" s="7">
        <v>1022.5</v>
      </c>
      <c r="EC74" s="7"/>
      <c r="ED74" s="7"/>
      <c r="EE74" s="7"/>
      <c r="EF74" s="7"/>
      <c r="EG74" s="17">
        <v>1022.5</v>
      </c>
      <c r="EH74" s="18">
        <f t="shared" si="45"/>
        <v>0</v>
      </c>
      <c r="EI74" s="19">
        <f t="shared" si="46"/>
        <v>0</v>
      </c>
      <c r="EJ74" s="15">
        <f t="shared" si="47"/>
        <v>0</v>
      </c>
      <c r="EK74" s="11">
        <f t="shared" si="48"/>
        <v>0</v>
      </c>
      <c r="EL74" s="125">
        <f t="shared" si="49"/>
        <v>-315.69671190690116</v>
      </c>
      <c r="EM74" s="22">
        <v>1</v>
      </c>
      <c r="EN74" s="7" t="s">
        <v>39</v>
      </c>
      <c r="EO74" s="12">
        <v>21</v>
      </c>
      <c r="EP74" s="7" t="s">
        <v>68</v>
      </c>
      <c r="EQ74" s="7" t="s">
        <v>12</v>
      </c>
      <c r="ER74" s="8">
        <v>43708</v>
      </c>
      <c r="ES74" s="16"/>
      <c r="ET74" s="7">
        <v>1022.5</v>
      </c>
      <c r="EU74" s="7"/>
      <c r="EV74" s="7"/>
      <c r="EW74" s="7"/>
      <c r="EX74" s="7"/>
      <c r="EY74" s="17">
        <f t="shared" si="16"/>
        <v>1022.5</v>
      </c>
      <c r="EZ74" s="18">
        <f t="shared" si="50"/>
        <v>0</v>
      </c>
      <c r="FA74" s="19">
        <f t="shared" si="51"/>
        <v>0</v>
      </c>
      <c r="FB74" s="15">
        <f t="shared" si="52"/>
        <v>0</v>
      </c>
      <c r="FC74" s="11">
        <f t="shared" si="53"/>
        <v>0</v>
      </c>
      <c r="FD74" s="21">
        <f t="shared" si="54"/>
        <v>-315.69671190690116</v>
      </c>
      <c r="FE74" s="22">
        <v>1</v>
      </c>
      <c r="FF74" s="7" t="s">
        <v>39</v>
      </c>
      <c r="FG74" s="7">
        <v>21</v>
      </c>
      <c r="FH74" s="7" t="s">
        <v>68</v>
      </c>
      <c r="FI74" s="7" t="s">
        <v>12</v>
      </c>
      <c r="FJ74" s="8">
        <v>43735</v>
      </c>
      <c r="FK74" s="16"/>
      <c r="FL74" s="7">
        <v>1022.5</v>
      </c>
      <c r="FM74" s="7"/>
      <c r="FN74" s="7"/>
      <c r="FO74" s="7"/>
      <c r="FP74" s="7"/>
      <c r="FQ74" s="17">
        <v>1022.5</v>
      </c>
      <c r="FR74" s="18">
        <f t="shared" si="55"/>
        <v>0</v>
      </c>
      <c r="FS74" s="19">
        <f t="shared" si="56"/>
        <v>0</v>
      </c>
      <c r="FT74" s="15">
        <f t="shared" si="57"/>
        <v>0</v>
      </c>
      <c r="FU74" s="11">
        <f t="shared" si="58"/>
        <v>0</v>
      </c>
      <c r="FV74" s="128">
        <f t="shared" si="17"/>
        <v>0</v>
      </c>
      <c r="FW74" s="13">
        <f t="shared" si="59"/>
        <v>0</v>
      </c>
      <c r="FX74" s="21">
        <f t="shared" si="60"/>
        <v>-315.69671190690116</v>
      </c>
      <c r="FY74" s="22">
        <v>1</v>
      </c>
      <c r="FZ74" s="7" t="s">
        <v>39</v>
      </c>
      <c r="GA74" s="134">
        <v>21</v>
      </c>
      <c r="GB74" s="135" t="s">
        <v>68</v>
      </c>
      <c r="GC74" s="135" t="s">
        <v>12</v>
      </c>
      <c r="GD74" s="136">
        <v>43771</v>
      </c>
      <c r="GE74" s="138"/>
      <c r="GF74" s="139">
        <v>1022.5</v>
      </c>
      <c r="GG74" s="3"/>
      <c r="GH74" s="3"/>
      <c r="GI74" s="3"/>
      <c r="GJ74" s="3"/>
      <c r="GK74" s="32">
        <f t="shared" si="18"/>
        <v>1022.5</v>
      </c>
      <c r="GL74" s="18">
        <f t="shared" si="61"/>
        <v>0</v>
      </c>
      <c r="GM74" s="19">
        <f t="shared" si="62"/>
        <v>0</v>
      </c>
      <c r="GN74" s="15">
        <f t="shared" si="63"/>
        <v>0</v>
      </c>
      <c r="GO74" s="11">
        <f t="shared" si="64"/>
        <v>0</v>
      </c>
      <c r="GP74" s="7">
        <f t="shared" si="19"/>
        <v>0</v>
      </c>
      <c r="GQ74" s="13">
        <f t="shared" si="65"/>
        <v>0</v>
      </c>
      <c r="GR74" s="46">
        <f t="shared" si="66"/>
        <v>-315.69671190690116</v>
      </c>
      <c r="GS74" s="22">
        <v>1</v>
      </c>
      <c r="GT74" s="7" t="s">
        <v>39</v>
      </c>
      <c r="GU74" s="148">
        <v>21</v>
      </c>
      <c r="GV74" s="148" t="s">
        <v>68</v>
      </c>
      <c r="GW74" s="148" t="s">
        <v>12</v>
      </c>
      <c r="GX74" s="155">
        <v>43799</v>
      </c>
      <c r="GY74" s="156"/>
      <c r="GZ74" s="148">
        <v>1022.5</v>
      </c>
      <c r="HA74" s="157"/>
      <c r="HB74" s="157"/>
      <c r="HC74" s="157"/>
      <c r="HD74" s="157"/>
      <c r="HE74" s="158">
        <f t="shared" si="20"/>
        <v>1022.5</v>
      </c>
      <c r="HF74" s="18">
        <f t="shared" si="67"/>
        <v>0</v>
      </c>
      <c r="HG74" s="19">
        <f t="shared" si="68"/>
        <v>0</v>
      </c>
      <c r="HH74" s="15">
        <f t="shared" si="69"/>
        <v>0</v>
      </c>
      <c r="HI74" s="11">
        <f t="shared" si="70"/>
        <v>0</v>
      </c>
      <c r="HJ74" s="7">
        <f t="shared" si="71"/>
        <v>0</v>
      </c>
      <c r="HK74" s="13">
        <f t="shared" si="72"/>
        <v>0</v>
      </c>
      <c r="HL74" s="46">
        <f t="shared" si="73"/>
        <v>-315.69671190690116</v>
      </c>
      <c r="HM74" s="22">
        <v>1</v>
      </c>
      <c r="HN74" s="7" t="s">
        <v>39</v>
      </c>
      <c r="HO74" s="12">
        <v>21</v>
      </c>
      <c r="HP74" s="7" t="s">
        <v>68</v>
      </c>
      <c r="HQ74" s="7" t="s">
        <v>12</v>
      </c>
      <c r="HR74" s="8">
        <v>43830</v>
      </c>
      <c r="HS74" s="171"/>
      <c r="HT74" s="7">
        <v>1022.5</v>
      </c>
      <c r="HU74" s="7"/>
      <c r="HV74" s="7"/>
      <c r="HW74" s="7"/>
      <c r="HX74" s="7"/>
      <c r="HY74" s="17">
        <v>1022.5</v>
      </c>
      <c r="HZ74" s="18">
        <f t="shared" si="74"/>
        <v>0</v>
      </c>
      <c r="IA74" s="19">
        <f t="shared" si="75"/>
        <v>0</v>
      </c>
      <c r="IB74" s="20">
        <f t="shared" si="76"/>
        <v>0</v>
      </c>
      <c r="IC74" s="11">
        <f t="shared" si="77"/>
        <v>0</v>
      </c>
      <c r="ID74" s="7">
        <f t="shared" si="78"/>
        <v>0</v>
      </c>
      <c r="IE74" s="13">
        <f t="shared" si="79"/>
        <v>0</v>
      </c>
      <c r="IF74" s="46">
        <f t="shared" si="80"/>
        <v>-315.69671190690116</v>
      </c>
      <c r="IG74" s="22">
        <v>1</v>
      </c>
      <c r="IH74" s="7" t="s">
        <v>39</v>
      </c>
    </row>
    <row r="75" spans="1:242" ht="19.5" customHeight="1">
      <c r="A75" s="10">
        <v>22</v>
      </c>
      <c r="B75" s="6" t="s">
        <v>69</v>
      </c>
      <c r="C75" s="6" t="s">
        <v>37</v>
      </c>
      <c r="D75" s="5">
        <v>43100</v>
      </c>
      <c r="F75" s="6">
        <v>974.5600000000001</v>
      </c>
      <c r="H75" s="6">
        <v>974.5600000000001</v>
      </c>
      <c r="J75" s="6">
        <v>0.41000000000008185</v>
      </c>
      <c r="K75" s="6">
        <v>-0.058848150228469266</v>
      </c>
      <c r="L75" s="6">
        <v>0.35115184977161257</v>
      </c>
      <c r="M75" s="6">
        <v>0.9305524018947733</v>
      </c>
      <c r="N75" s="6">
        <v>292.472403189273</v>
      </c>
      <c r="O75" s="10">
        <v>1</v>
      </c>
      <c r="P75" s="6" t="s">
        <v>39</v>
      </c>
      <c r="Q75" s="1">
        <v>22</v>
      </c>
      <c r="R75" s="56" t="s">
        <v>69</v>
      </c>
      <c r="S75" s="54">
        <v>1326.8500000000001</v>
      </c>
      <c r="T75" s="55">
        <v>234.4200478898648</v>
      </c>
      <c r="U75" s="2" t="s">
        <v>37</v>
      </c>
      <c r="V75" s="30">
        <v>43496</v>
      </c>
      <c r="W75" s="37">
        <v>235</v>
      </c>
      <c r="X75" s="31">
        <v>1326.8500000000001</v>
      </c>
      <c r="Y75" s="31"/>
      <c r="Z75" s="31"/>
      <c r="AA75" s="31"/>
      <c r="AB75" s="31">
        <v>-12.41</v>
      </c>
      <c r="AC75" s="57">
        <f t="shared" si="6"/>
        <v>1326.8500000000001</v>
      </c>
      <c r="AD75" s="34">
        <f t="shared" si="7"/>
        <v>0</v>
      </c>
      <c r="AE75" s="38">
        <f t="shared" si="8"/>
        <v>0</v>
      </c>
      <c r="AF75" s="39">
        <f t="shared" si="9"/>
        <v>0</v>
      </c>
      <c r="AG75" s="4">
        <f t="shared" si="21"/>
        <v>0</v>
      </c>
      <c r="AH75" s="40">
        <f t="shared" si="10"/>
        <v>-0.5799521101351957</v>
      </c>
      <c r="AI75" s="41">
        <v>2</v>
      </c>
      <c r="AJ75" s="36" t="s">
        <v>39</v>
      </c>
      <c r="AK75" s="1">
        <v>22</v>
      </c>
      <c r="AL75" s="2" t="s">
        <v>69</v>
      </c>
      <c r="AM75" s="2" t="s">
        <v>37</v>
      </c>
      <c r="AN75" s="72">
        <v>43521</v>
      </c>
      <c r="AO75" s="73"/>
      <c r="AP75" s="74">
        <v>1326.8500000000001</v>
      </c>
      <c r="AQ75" s="74"/>
      <c r="AR75" s="74"/>
      <c r="AS75" s="74"/>
      <c r="AT75" s="74">
        <v>-12.41</v>
      </c>
      <c r="AU75" s="79">
        <f t="shared" si="11"/>
        <v>1326.8500000000001</v>
      </c>
      <c r="AV75" s="81">
        <f t="shared" si="12"/>
        <v>0</v>
      </c>
      <c r="AW75" s="80">
        <f t="shared" si="13"/>
        <v>0</v>
      </c>
      <c r="AX75" s="85">
        <f t="shared" si="22"/>
        <v>0</v>
      </c>
      <c r="AY75" s="91">
        <f t="shared" si="23"/>
        <v>0</v>
      </c>
      <c r="AZ75" s="88">
        <f t="shared" si="24"/>
        <v>-0.5799521101351957</v>
      </c>
      <c r="BA75" s="22">
        <v>2</v>
      </c>
      <c r="BB75" s="7" t="s">
        <v>39</v>
      </c>
      <c r="BC75" s="12">
        <v>22</v>
      </c>
      <c r="BD75" s="7" t="s">
        <v>69</v>
      </c>
      <c r="BE75" s="7" t="s">
        <v>37</v>
      </c>
      <c r="BF75" s="8">
        <v>43555</v>
      </c>
      <c r="BG75" s="16"/>
      <c r="BH75" s="7">
        <v>1326.8500000000001</v>
      </c>
      <c r="BI75" s="7"/>
      <c r="BJ75" s="7"/>
      <c r="BK75" s="7"/>
      <c r="BL75" s="7">
        <v>-12.41</v>
      </c>
      <c r="BM75" s="17">
        <f t="shared" si="14"/>
        <v>1326.8500000000001</v>
      </c>
      <c r="BN75" s="18">
        <f t="shared" si="25"/>
        <v>0</v>
      </c>
      <c r="BO75" s="19">
        <f t="shared" si="26"/>
        <v>0</v>
      </c>
      <c r="BP75" s="15">
        <f t="shared" si="27"/>
        <v>0</v>
      </c>
      <c r="BQ75" s="11">
        <f t="shared" si="28"/>
        <v>0</v>
      </c>
      <c r="BR75" s="46">
        <f t="shared" si="29"/>
        <v>-0.5799521101351957</v>
      </c>
      <c r="BS75" s="22">
        <v>2</v>
      </c>
      <c r="BT75" s="7" t="s">
        <v>39</v>
      </c>
      <c r="BU75" s="12">
        <v>22</v>
      </c>
      <c r="BV75" s="7" t="s">
        <v>69</v>
      </c>
      <c r="BW75" s="7" t="s">
        <v>37</v>
      </c>
      <c r="BX75" s="8">
        <v>43585</v>
      </c>
      <c r="BY75" s="16"/>
      <c r="BZ75" s="7">
        <v>1326.8500000000001</v>
      </c>
      <c r="CA75" s="7"/>
      <c r="CB75" s="7"/>
      <c r="CC75" s="7"/>
      <c r="CD75" s="7">
        <v>-12.41</v>
      </c>
      <c r="CE75" s="17">
        <v>1326.8500000000001</v>
      </c>
      <c r="CF75" s="18">
        <f t="shared" si="30"/>
        <v>0</v>
      </c>
      <c r="CG75" s="19">
        <f t="shared" si="31"/>
        <v>0</v>
      </c>
      <c r="CH75" s="20">
        <f t="shared" si="32"/>
        <v>0</v>
      </c>
      <c r="CI75" s="11">
        <f t="shared" si="33"/>
        <v>0</v>
      </c>
      <c r="CJ75" s="46">
        <f t="shared" si="34"/>
        <v>-0.5799521101351957</v>
      </c>
      <c r="CK75" s="22">
        <v>2</v>
      </c>
      <c r="CL75" s="7" t="s">
        <v>39</v>
      </c>
      <c r="CM75" s="12">
        <v>22</v>
      </c>
      <c r="CN75" s="7" t="s">
        <v>69</v>
      </c>
      <c r="CO75" s="7" t="s">
        <v>37</v>
      </c>
      <c r="CP75" s="8">
        <v>43615</v>
      </c>
      <c r="CQ75" s="16"/>
      <c r="CR75" s="7">
        <v>1336.15</v>
      </c>
      <c r="CS75" s="7"/>
      <c r="CT75" s="7"/>
      <c r="CU75" s="7"/>
      <c r="CV75" s="7">
        <v>-12.41</v>
      </c>
      <c r="CW75" s="17">
        <v>1336.15</v>
      </c>
      <c r="CX75" s="18">
        <f t="shared" si="35"/>
        <v>9.299999999999955</v>
      </c>
      <c r="CY75" s="19">
        <f t="shared" si="36"/>
        <v>4.005824224599166</v>
      </c>
      <c r="CZ75" s="15">
        <f t="shared" si="37"/>
        <v>13.305824224599121</v>
      </c>
      <c r="DA75" s="11">
        <f t="shared" si="38"/>
        <v>37.52242431336952</v>
      </c>
      <c r="DB75" s="46">
        <f t="shared" si="39"/>
        <v>36.942472203234324</v>
      </c>
      <c r="DC75" s="22">
        <v>2</v>
      </c>
      <c r="DD75" s="7" t="s">
        <v>39</v>
      </c>
      <c r="DE75" s="1">
        <v>22</v>
      </c>
      <c r="DF75" s="2" t="s">
        <v>69</v>
      </c>
      <c r="DG75" s="2" t="s">
        <v>37</v>
      </c>
      <c r="DH75" s="30">
        <v>43646</v>
      </c>
      <c r="DI75" s="37"/>
      <c r="DJ75" s="31">
        <v>1396.75</v>
      </c>
      <c r="DK75" s="58"/>
      <c r="DL75" s="58"/>
      <c r="DM75" s="58"/>
      <c r="DN75" s="35">
        <v>-12.41</v>
      </c>
      <c r="DO75" s="57">
        <f t="shared" si="15"/>
        <v>1396.75</v>
      </c>
      <c r="DP75" s="18">
        <f t="shared" si="40"/>
        <v>60.59999999999991</v>
      </c>
      <c r="DQ75" s="19">
        <f t="shared" si="41"/>
        <v>-1.1193076682975867</v>
      </c>
      <c r="DR75" s="15">
        <f t="shared" si="42"/>
        <v>59.48069233170232</v>
      </c>
      <c r="DS75" s="11">
        <f t="shared" si="43"/>
        <v>167.73555237540054</v>
      </c>
      <c r="DT75" s="46">
        <f t="shared" si="44"/>
        <v>204.67802457863488</v>
      </c>
      <c r="DU75" s="22">
        <v>2</v>
      </c>
      <c r="DV75" s="7" t="s">
        <v>39</v>
      </c>
      <c r="DW75" s="12">
        <v>22</v>
      </c>
      <c r="DX75" s="7" t="s">
        <v>69</v>
      </c>
      <c r="DY75" s="7" t="s">
        <v>37</v>
      </c>
      <c r="DZ75" s="8">
        <v>43677</v>
      </c>
      <c r="EA75" s="16"/>
      <c r="EB75" s="7">
        <v>1480.07</v>
      </c>
      <c r="EC75" s="7"/>
      <c r="ED75" s="7"/>
      <c r="EE75" s="7"/>
      <c r="EF75" s="7">
        <v>-12.41</v>
      </c>
      <c r="EG75" s="17">
        <v>1480.07</v>
      </c>
      <c r="EH75" s="18">
        <f t="shared" si="45"/>
        <v>83.31999999999994</v>
      </c>
      <c r="EI75" s="19">
        <f t="shared" si="46"/>
        <v>14.392407174120581</v>
      </c>
      <c r="EJ75" s="15">
        <f t="shared" si="47"/>
        <v>97.71240717412051</v>
      </c>
      <c r="EK75" s="11">
        <f t="shared" si="48"/>
        <v>283.36598080494946</v>
      </c>
      <c r="EL75" s="125">
        <f t="shared" si="49"/>
        <v>488.04400538358436</v>
      </c>
      <c r="EM75" s="22">
        <v>2</v>
      </c>
      <c r="EN75" s="7" t="s">
        <v>39</v>
      </c>
      <c r="EO75" s="12">
        <v>22</v>
      </c>
      <c r="EP75" s="7" t="s">
        <v>69</v>
      </c>
      <c r="EQ75" s="7" t="s">
        <v>37</v>
      </c>
      <c r="ER75" s="8">
        <v>43708</v>
      </c>
      <c r="ES75" s="16">
        <v>488</v>
      </c>
      <c r="ET75" s="7">
        <v>1530.43</v>
      </c>
      <c r="EU75" s="7"/>
      <c r="EV75" s="7"/>
      <c r="EW75" s="7"/>
      <c r="EX75" s="7">
        <v>-12.41</v>
      </c>
      <c r="EY75" s="17">
        <f t="shared" si="16"/>
        <v>1530.43</v>
      </c>
      <c r="EZ75" s="18">
        <f t="shared" si="50"/>
        <v>50.36000000000013</v>
      </c>
      <c r="FA75" s="19">
        <f t="shared" si="51"/>
        <v>5.736283210484764</v>
      </c>
      <c r="FB75" s="15">
        <f t="shared" si="52"/>
        <v>56.09628321048489</v>
      </c>
      <c r="FC75" s="11">
        <f t="shared" si="53"/>
        <v>162.67922131040618</v>
      </c>
      <c r="FD75" s="21">
        <f t="shared" si="54"/>
        <v>162.72322669399054</v>
      </c>
      <c r="FE75" s="22">
        <v>2</v>
      </c>
      <c r="FF75" s="7" t="s">
        <v>39</v>
      </c>
      <c r="FG75" s="7">
        <v>22</v>
      </c>
      <c r="FH75" s="7" t="s">
        <v>69</v>
      </c>
      <c r="FI75" s="7" t="s">
        <v>37</v>
      </c>
      <c r="FJ75" s="8">
        <v>43735</v>
      </c>
      <c r="FK75" s="16"/>
      <c r="FL75" s="7">
        <v>1566.4</v>
      </c>
      <c r="FM75" s="7"/>
      <c r="FN75" s="7"/>
      <c r="FO75" s="7"/>
      <c r="FP75" s="7">
        <v>-12.41</v>
      </c>
      <c r="FQ75" s="17">
        <v>1566.4</v>
      </c>
      <c r="FR75" s="18">
        <f t="shared" si="55"/>
        <v>35.97000000000003</v>
      </c>
      <c r="FS75" s="19">
        <f t="shared" si="56"/>
        <v>0.26914534484960073</v>
      </c>
      <c r="FT75" s="15">
        <f t="shared" si="57"/>
        <v>36.239145344849625</v>
      </c>
      <c r="FU75" s="11">
        <f t="shared" si="58"/>
        <v>105.09352150006391</v>
      </c>
      <c r="FV75" s="128">
        <f t="shared" si="17"/>
        <v>-7.980578315683014</v>
      </c>
      <c r="FW75" s="13">
        <f t="shared" si="59"/>
        <v>97.1129431843809</v>
      </c>
      <c r="FX75" s="21">
        <f t="shared" si="60"/>
        <v>259.83616987837144</v>
      </c>
      <c r="FY75" s="22">
        <v>2</v>
      </c>
      <c r="FZ75" s="7" t="s">
        <v>39</v>
      </c>
      <c r="GA75" s="134">
        <v>22</v>
      </c>
      <c r="GB75" s="135" t="s">
        <v>69</v>
      </c>
      <c r="GC75" s="135" t="s">
        <v>37</v>
      </c>
      <c r="GD75" s="136">
        <v>43771</v>
      </c>
      <c r="GE75" s="138"/>
      <c r="GF75" s="139">
        <v>1590.3700000000001</v>
      </c>
      <c r="GG75" s="3"/>
      <c r="GH75" s="3"/>
      <c r="GI75" s="3"/>
      <c r="GJ75" s="3">
        <v>-12.41</v>
      </c>
      <c r="GK75" s="32">
        <f t="shared" si="18"/>
        <v>1590.3700000000001</v>
      </c>
      <c r="GL75" s="18">
        <f t="shared" si="61"/>
        <v>23.970000000000027</v>
      </c>
      <c r="GM75" s="19">
        <f t="shared" si="62"/>
        <v>-2.7733986484992927</v>
      </c>
      <c r="GN75" s="15">
        <f t="shared" si="63"/>
        <v>21.196601351500735</v>
      </c>
      <c r="GO75" s="11">
        <f t="shared" si="64"/>
        <v>61.47014391935213</v>
      </c>
      <c r="GP75" s="7">
        <f t="shared" si="19"/>
        <v>-9.07668750730335</v>
      </c>
      <c r="GQ75" s="13">
        <f t="shared" si="65"/>
        <v>52.393456412048785</v>
      </c>
      <c r="GR75" s="46">
        <f t="shared" si="66"/>
        <v>312.22962629042024</v>
      </c>
      <c r="GS75" s="22">
        <v>2</v>
      </c>
      <c r="GT75" s="7" t="s">
        <v>39</v>
      </c>
      <c r="GU75" s="148">
        <v>22</v>
      </c>
      <c r="GV75" s="148" t="s">
        <v>69</v>
      </c>
      <c r="GW75" s="148" t="s">
        <v>37</v>
      </c>
      <c r="GX75" s="155">
        <v>43799</v>
      </c>
      <c r="GY75" s="156"/>
      <c r="GZ75" s="148">
        <v>1590.3700000000001</v>
      </c>
      <c r="HA75" s="157"/>
      <c r="HB75" s="157"/>
      <c r="HC75" s="157"/>
      <c r="HD75" s="157">
        <v>-12.41</v>
      </c>
      <c r="HE75" s="158">
        <f t="shared" si="20"/>
        <v>1590.3700000000001</v>
      </c>
      <c r="HF75" s="18">
        <f t="shared" si="67"/>
        <v>0</v>
      </c>
      <c r="HG75" s="19">
        <f t="shared" si="68"/>
        <v>0</v>
      </c>
      <c r="HH75" s="15">
        <f t="shared" si="69"/>
        <v>0</v>
      </c>
      <c r="HI75" s="11">
        <f t="shared" si="70"/>
        <v>0</v>
      </c>
      <c r="HJ75" s="7">
        <f t="shared" si="71"/>
        <v>0</v>
      </c>
      <c r="HK75" s="13">
        <f t="shared" si="72"/>
        <v>0</v>
      </c>
      <c r="HL75" s="46">
        <f t="shared" si="73"/>
        <v>312.22962629042024</v>
      </c>
      <c r="HM75" s="22">
        <v>2</v>
      </c>
      <c r="HN75" s="7" t="s">
        <v>39</v>
      </c>
      <c r="HO75" s="12">
        <v>22</v>
      </c>
      <c r="HP75" s="7" t="s">
        <v>69</v>
      </c>
      <c r="HQ75" s="7" t="s">
        <v>37</v>
      </c>
      <c r="HR75" s="8">
        <v>43830</v>
      </c>
      <c r="HS75" s="171"/>
      <c r="HT75" s="7">
        <v>1590.3700000000001</v>
      </c>
      <c r="HU75" s="7"/>
      <c r="HV75" s="7"/>
      <c r="HW75" s="7"/>
      <c r="HX75" s="7">
        <v>-12.41</v>
      </c>
      <c r="HY75" s="17">
        <v>1590.3700000000001</v>
      </c>
      <c r="HZ75" s="18">
        <f t="shared" si="74"/>
        <v>0</v>
      </c>
      <c r="IA75" s="19">
        <f t="shared" si="75"/>
        <v>0</v>
      </c>
      <c r="IB75" s="20">
        <f t="shared" si="76"/>
        <v>0</v>
      </c>
      <c r="IC75" s="11">
        <f t="shared" si="77"/>
        <v>0</v>
      </c>
      <c r="ID75" s="7">
        <f t="shared" si="78"/>
        <v>0</v>
      </c>
      <c r="IE75" s="13">
        <f t="shared" si="79"/>
        <v>0</v>
      </c>
      <c r="IF75" s="46">
        <f t="shared" si="80"/>
        <v>312.22962629042024</v>
      </c>
      <c r="IG75" s="22">
        <v>2</v>
      </c>
      <c r="IH75" s="7" t="s">
        <v>39</v>
      </c>
    </row>
    <row r="76" spans="1:242" ht="19.5" customHeight="1">
      <c r="A76" s="10">
        <v>23</v>
      </c>
      <c r="B76" s="6" t="s">
        <v>78</v>
      </c>
      <c r="C76" s="6" t="s">
        <v>8</v>
      </c>
      <c r="D76" s="5">
        <v>43100</v>
      </c>
      <c r="F76" s="6">
        <v>32.160000000000004</v>
      </c>
      <c r="H76" s="6">
        <v>32.160000000000004</v>
      </c>
      <c r="J76" s="6">
        <v>0</v>
      </c>
      <c r="K76" s="6">
        <v>0</v>
      </c>
      <c r="L76" s="6">
        <v>0</v>
      </c>
      <c r="M76" s="6">
        <v>0</v>
      </c>
      <c r="N76" s="6">
        <v>-189.3854909779751</v>
      </c>
      <c r="O76" s="10">
        <v>1</v>
      </c>
      <c r="P76" s="6" t="s">
        <v>39</v>
      </c>
      <c r="Q76" s="1">
        <v>23</v>
      </c>
      <c r="R76" s="56" t="s">
        <v>78</v>
      </c>
      <c r="S76" s="54">
        <v>39.79</v>
      </c>
      <c r="T76" s="55">
        <v>-166.76975236618225</v>
      </c>
      <c r="U76" s="2" t="s">
        <v>8</v>
      </c>
      <c r="V76" s="30">
        <v>43496</v>
      </c>
      <c r="W76" s="37"/>
      <c r="X76" s="31">
        <v>39.79</v>
      </c>
      <c r="Y76" s="31"/>
      <c r="Z76" s="31"/>
      <c r="AA76" s="31"/>
      <c r="AB76" s="31"/>
      <c r="AC76" s="57">
        <f t="shared" si="6"/>
        <v>39.79</v>
      </c>
      <c r="AD76" s="34">
        <f t="shared" si="7"/>
        <v>0</v>
      </c>
      <c r="AE76" s="38">
        <f t="shared" si="8"/>
        <v>0</v>
      </c>
      <c r="AF76" s="39">
        <f t="shared" si="9"/>
        <v>0</v>
      </c>
      <c r="AG76" s="4">
        <f t="shared" si="21"/>
        <v>0</v>
      </c>
      <c r="AH76" s="40">
        <f t="shared" si="10"/>
        <v>-166.76975236618225</v>
      </c>
      <c r="AI76" s="41">
        <v>1</v>
      </c>
      <c r="AJ76" s="36" t="s">
        <v>39</v>
      </c>
      <c r="AK76" s="1">
        <v>23</v>
      </c>
      <c r="AL76" s="2" t="s">
        <v>78</v>
      </c>
      <c r="AM76" s="2" t="s">
        <v>8</v>
      </c>
      <c r="AN76" s="72">
        <v>43521</v>
      </c>
      <c r="AO76" s="73"/>
      <c r="AP76" s="74">
        <v>39.79</v>
      </c>
      <c r="AQ76" s="74"/>
      <c r="AR76" s="74"/>
      <c r="AS76" s="74"/>
      <c r="AT76" s="74"/>
      <c r="AU76" s="79">
        <f t="shared" si="11"/>
        <v>39.79</v>
      </c>
      <c r="AV76" s="81">
        <f t="shared" si="12"/>
        <v>0</v>
      </c>
      <c r="AW76" s="80">
        <f t="shared" si="13"/>
        <v>0</v>
      </c>
      <c r="AX76" s="85">
        <f t="shared" si="22"/>
        <v>0</v>
      </c>
      <c r="AY76" s="91">
        <f t="shared" si="23"/>
        <v>0</v>
      </c>
      <c r="AZ76" s="88">
        <f t="shared" si="24"/>
        <v>-166.76975236618225</v>
      </c>
      <c r="BA76" s="22">
        <v>1</v>
      </c>
      <c r="BB76" s="7" t="s">
        <v>39</v>
      </c>
      <c r="BC76" s="12">
        <v>23</v>
      </c>
      <c r="BD76" s="7" t="s">
        <v>78</v>
      </c>
      <c r="BE76" s="7" t="s">
        <v>8</v>
      </c>
      <c r="BF76" s="8">
        <v>43555</v>
      </c>
      <c r="BG76" s="16"/>
      <c r="BH76" s="7">
        <v>39.79</v>
      </c>
      <c r="BI76" s="7"/>
      <c r="BJ76" s="7"/>
      <c r="BK76" s="7"/>
      <c r="BL76" s="7"/>
      <c r="BM76" s="17">
        <f t="shared" si="14"/>
        <v>39.79</v>
      </c>
      <c r="BN76" s="18">
        <f t="shared" si="25"/>
        <v>0</v>
      </c>
      <c r="BO76" s="19">
        <f t="shared" si="26"/>
        <v>0</v>
      </c>
      <c r="BP76" s="15">
        <f t="shared" si="27"/>
        <v>0</v>
      </c>
      <c r="BQ76" s="11">
        <f t="shared" si="28"/>
        <v>0</v>
      </c>
      <c r="BR76" s="46">
        <f t="shared" si="29"/>
        <v>-166.76975236618225</v>
      </c>
      <c r="BS76" s="22">
        <v>1</v>
      </c>
      <c r="BT76" s="7" t="s">
        <v>39</v>
      </c>
      <c r="BU76" s="12">
        <v>23</v>
      </c>
      <c r="BV76" s="7" t="s">
        <v>78</v>
      </c>
      <c r="BW76" s="7" t="s">
        <v>8</v>
      </c>
      <c r="BX76" s="8">
        <v>43585</v>
      </c>
      <c r="BY76" s="16"/>
      <c r="BZ76" s="7">
        <v>39.79</v>
      </c>
      <c r="CA76" s="7"/>
      <c r="CB76" s="7"/>
      <c r="CC76" s="7"/>
      <c r="CD76" s="7"/>
      <c r="CE76" s="17">
        <v>39.79</v>
      </c>
      <c r="CF76" s="18">
        <f t="shared" si="30"/>
        <v>0</v>
      </c>
      <c r="CG76" s="19">
        <f t="shared" si="31"/>
        <v>0</v>
      </c>
      <c r="CH76" s="20">
        <f t="shared" si="32"/>
        <v>0</v>
      </c>
      <c r="CI76" s="11">
        <f t="shared" si="33"/>
        <v>0</v>
      </c>
      <c r="CJ76" s="46">
        <f t="shared" si="34"/>
        <v>-166.76975236618225</v>
      </c>
      <c r="CK76" s="22">
        <v>1</v>
      </c>
      <c r="CL76" s="7" t="s">
        <v>39</v>
      </c>
      <c r="CM76" s="12">
        <v>23</v>
      </c>
      <c r="CN76" s="7" t="s">
        <v>78</v>
      </c>
      <c r="CO76" s="7" t="s">
        <v>8</v>
      </c>
      <c r="CP76" s="8">
        <v>43615</v>
      </c>
      <c r="CQ76" s="16"/>
      <c r="CR76" s="7">
        <v>40.67</v>
      </c>
      <c r="CS76" s="7"/>
      <c r="CT76" s="7"/>
      <c r="CU76" s="7"/>
      <c r="CV76" s="7"/>
      <c r="CW76" s="17">
        <v>40.67</v>
      </c>
      <c r="CX76" s="18">
        <f t="shared" si="35"/>
        <v>0.8800000000000026</v>
      </c>
      <c r="CY76" s="19">
        <f t="shared" si="36"/>
        <v>0.3790457330803542</v>
      </c>
      <c r="CZ76" s="15">
        <f t="shared" si="37"/>
        <v>1.2590457330803568</v>
      </c>
      <c r="DA76" s="11">
        <f t="shared" si="38"/>
        <v>3.550508967286606</v>
      </c>
      <c r="DB76" s="46">
        <f t="shared" si="39"/>
        <v>-163.21924339889563</v>
      </c>
      <c r="DC76" s="22">
        <v>1</v>
      </c>
      <c r="DD76" s="7" t="s">
        <v>39</v>
      </c>
      <c r="DE76" s="1">
        <v>23</v>
      </c>
      <c r="DF76" s="2" t="s">
        <v>78</v>
      </c>
      <c r="DG76" s="2" t="s">
        <v>8</v>
      </c>
      <c r="DH76" s="30">
        <v>43646</v>
      </c>
      <c r="DI76" s="37"/>
      <c r="DJ76" s="31">
        <v>42.51</v>
      </c>
      <c r="DK76" s="58"/>
      <c r="DL76" s="58"/>
      <c r="DM76" s="58"/>
      <c r="DN76" s="35"/>
      <c r="DO76" s="57">
        <f t="shared" si="15"/>
        <v>42.51</v>
      </c>
      <c r="DP76" s="18">
        <f t="shared" si="40"/>
        <v>1.8399999999999963</v>
      </c>
      <c r="DQ76" s="19">
        <f t="shared" si="41"/>
        <v>-0.03398557936745146</v>
      </c>
      <c r="DR76" s="15">
        <f t="shared" si="42"/>
        <v>1.8060144206325448</v>
      </c>
      <c r="DS76" s="11">
        <f t="shared" si="43"/>
        <v>5.092960666183776</v>
      </c>
      <c r="DT76" s="46">
        <f t="shared" si="44"/>
        <v>-158.12628273271184</v>
      </c>
      <c r="DU76" s="22">
        <v>1</v>
      </c>
      <c r="DV76" s="7" t="s">
        <v>39</v>
      </c>
      <c r="DW76" s="12">
        <v>23</v>
      </c>
      <c r="DX76" s="7" t="s">
        <v>78</v>
      </c>
      <c r="DY76" s="7" t="s">
        <v>8</v>
      </c>
      <c r="DZ76" s="8">
        <v>43677</v>
      </c>
      <c r="EA76" s="16"/>
      <c r="EB76" s="7">
        <v>44.5</v>
      </c>
      <c r="EC76" s="7"/>
      <c r="ED76" s="7"/>
      <c r="EE76" s="7"/>
      <c r="EF76" s="7"/>
      <c r="EG76" s="17">
        <v>44.5</v>
      </c>
      <c r="EH76" s="18">
        <f t="shared" si="45"/>
        <v>1.990000000000002</v>
      </c>
      <c r="EI76" s="19">
        <f t="shared" si="46"/>
        <v>0.34374568262722044</v>
      </c>
      <c r="EJ76" s="15">
        <f t="shared" si="47"/>
        <v>2.3337456826272223</v>
      </c>
      <c r="EK76" s="11">
        <f t="shared" si="48"/>
        <v>6.767862479618945</v>
      </c>
      <c r="EL76" s="125">
        <f t="shared" si="49"/>
        <v>-151.3584202530929</v>
      </c>
      <c r="EM76" s="22">
        <v>1</v>
      </c>
      <c r="EN76" s="7" t="s">
        <v>39</v>
      </c>
      <c r="EO76" s="12">
        <v>23</v>
      </c>
      <c r="EP76" s="7" t="s">
        <v>78</v>
      </c>
      <c r="EQ76" s="7" t="s">
        <v>8</v>
      </c>
      <c r="ER76" s="8">
        <v>43708</v>
      </c>
      <c r="ES76" s="16"/>
      <c r="ET76" s="7">
        <v>46.160000000000004</v>
      </c>
      <c r="EU76" s="7"/>
      <c r="EV76" s="7"/>
      <c r="EW76" s="7"/>
      <c r="EX76" s="7"/>
      <c r="EY76" s="17">
        <f t="shared" si="16"/>
        <v>46.160000000000004</v>
      </c>
      <c r="EZ76" s="18">
        <f t="shared" si="50"/>
        <v>1.6600000000000037</v>
      </c>
      <c r="FA76" s="19">
        <f t="shared" si="51"/>
        <v>0.18908320352273045</v>
      </c>
      <c r="FB76" s="15">
        <f t="shared" si="52"/>
        <v>1.849083203522734</v>
      </c>
      <c r="FC76" s="11">
        <f t="shared" si="53"/>
        <v>5.362341290215928</v>
      </c>
      <c r="FD76" s="21">
        <f t="shared" si="54"/>
        <v>-145.99607896287696</v>
      </c>
      <c r="FE76" s="22">
        <v>1</v>
      </c>
      <c r="FF76" s="7" t="s">
        <v>39</v>
      </c>
      <c r="FG76" s="7">
        <v>23</v>
      </c>
      <c r="FH76" s="7" t="s">
        <v>78</v>
      </c>
      <c r="FI76" s="7" t="s">
        <v>8</v>
      </c>
      <c r="FJ76" s="8">
        <v>43735</v>
      </c>
      <c r="FK76" s="16"/>
      <c r="FL76" s="7">
        <v>46.49</v>
      </c>
      <c r="FM76" s="7"/>
      <c r="FN76" s="7"/>
      <c r="FO76" s="7"/>
      <c r="FP76" s="7"/>
      <c r="FQ76" s="17">
        <v>46.49</v>
      </c>
      <c r="FR76" s="18">
        <f t="shared" si="55"/>
        <v>0.3299999999999983</v>
      </c>
      <c r="FS76" s="19">
        <f t="shared" si="56"/>
        <v>0.002469223347244029</v>
      </c>
      <c r="FT76" s="15">
        <f t="shared" si="57"/>
        <v>0.3324692233472423</v>
      </c>
      <c r="FU76" s="11">
        <f t="shared" si="58"/>
        <v>0.9641607477070027</v>
      </c>
      <c r="FV76" s="128">
        <f t="shared" si="17"/>
        <v>-0.07321631482277952</v>
      </c>
      <c r="FW76" s="13">
        <f t="shared" si="59"/>
        <v>0.8909444328842231</v>
      </c>
      <c r="FX76" s="21">
        <f t="shared" si="60"/>
        <v>-145.10513452999274</v>
      </c>
      <c r="FY76" s="22">
        <v>1</v>
      </c>
      <c r="FZ76" s="7" t="s">
        <v>39</v>
      </c>
      <c r="GA76" s="134">
        <v>23</v>
      </c>
      <c r="GB76" s="135" t="s">
        <v>78</v>
      </c>
      <c r="GC76" s="135" t="s">
        <v>8</v>
      </c>
      <c r="GD76" s="136">
        <v>43771</v>
      </c>
      <c r="GE76" s="138"/>
      <c r="GF76" s="139">
        <v>46.97</v>
      </c>
      <c r="GG76" s="3"/>
      <c r="GH76" s="3"/>
      <c r="GI76" s="3"/>
      <c r="GJ76" s="3"/>
      <c r="GK76" s="32">
        <f t="shared" si="18"/>
        <v>46.97</v>
      </c>
      <c r="GL76" s="18">
        <f t="shared" si="61"/>
        <v>0.4799999999999969</v>
      </c>
      <c r="GM76" s="19">
        <f t="shared" si="62"/>
        <v>-0.05553739471337715</v>
      </c>
      <c r="GN76" s="15">
        <f t="shared" si="63"/>
        <v>0.4244626052866197</v>
      </c>
      <c r="GO76" s="11">
        <f t="shared" si="64"/>
        <v>1.230941555331197</v>
      </c>
      <c r="GP76" s="7">
        <f t="shared" si="19"/>
        <v>-0.18176095133523462</v>
      </c>
      <c r="GQ76" s="13">
        <f t="shared" si="65"/>
        <v>1.0491806039959624</v>
      </c>
      <c r="GR76" s="46">
        <f t="shared" si="66"/>
        <v>-144.0559539259968</v>
      </c>
      <c r="GS76" s="22">
        <v>1</v>
      </c>
      <c r="GT76" s="7" t="s">
        <v>39</v>
      </c>
      <c r="GU76" s="148">
        <v>23</v>
      </c>
      <c r="GV76" s="148" t="s">
        <v>78</v>
      </c>
      <c r="GW76" s="148" t="s">
        <v>8</v>
      </c>
      <c r="GX76" s="155">
        <v>43799</v>
      </c>
      <c r="GY76" s="156"/>
      <c r="GZ76" s="148">
        <v>46.97</v>
      </c>
      <c r="HA76" s="157"/>
      <c r="HB76" s="157"/>
      <c r="HC76" s="157"/>
      <c r="HD76" s="157"/>
      <c r="HE76" s="158">
        <f t="shared" si="20"/>
        <v>46.97</v>
      </c>
      <c r="HF76" s="18">
        <f t="shared" si="67"/>
        <v>0</v>
      </c>
      <c r="HG76" s="19">
        <f t="shared" si="68"/>
        <v>0</v>
      </c>
      <c r="HH76" s="15">
        <f t="shared" si="69"/>
        <v>0</v>
      </c>
      <c r="HI76" s="11">
        <f t="shared" si="70"/>
        <v>0</v>
      </c>
      <c r="HJ76" s="7">
        <f t="shared" si="71"/>
        <v>0</v>
      </c>
      <c r="HK76" s="13">
        <f t="shared" si="72"/>
        <v>0</v>
      </c>
      <c r="HL76" s="46">
        <f t="shared" si="73"/>
        <v>-144.0559539259968</v>
      </c>
      <c r="HM76" s="22">
        <v>1</v>
      </c>
      <c r="HN76" s="7" t="s">
        <v>39</v>
      </c>
      <c r="HO76" s="12">
        <v>23</v>
      </c>
      <c r="HP76" s="7" t="s">
        <v>78</v>
      </c>
      <c r="HQ76" s="7" t="s">
        <v>8</v>
      </c>
      <c r="HR76" s="8">
        <v>43830</v>
      </c>
      <c r="HS76" s="171"/>
      <c r="HT76" s="7">
        <v>46.97</v>
      </c>
      <c r="HU76" s="7"/>
      <c r="HV76" s="7"/>
      <c r="HW76" s="7"/>
      <c r="HX76" s="7"/>
      <c r="HY76" s="17">
        <v>46.97</v>
      </c>
      <c r="HZ76" s="18">
        <f t="shared" si="74"/>
        <v>0</v>
      </c>
      <c r="IA76" s="19">
        <f t="shared" si="75"/>
        <v>0</v>
      </c>
      <c r="IB76" s="20">
        <f t="shared" si="76"/>
        <v>0</v>
      </c>
      <c r="IC76" s="11">
        <f t="shared" si="77"/>
        <v>0</v>
      </c>
      <c r="ID76" s="7">
        <f t="shared" si="78"/>
        <v>0</v>
      </c>
      <c r="IE76" s="13">
        <f t="shared" si="79"/>
        <v>0</v>
      </c>
      <c r="IF76" s="46">
        <f t="shared" si="80"/>
        <v>-144.0559539259968</v>
      </c>
      <c r="IG76" s="22">
        <v>1</v>
      </c>
      <c r="IH76" s="7" t="s">
        <v>39</v>
      </c>
    </row>
    <row r="77" spans="1:242" ht="19.5" customHeight="1">
      <c r="A77" s="10">
        <v>24</v>
      </c>
      <c r="B77" s="6" t="s">
        <v>70</v>
      </c>
      <c r="C77" s="6" t="s">
        <v>21</v>
      </c>
      <c r="D77" s="5">
        <v>43100</v>
      </c>
      <c r="F77" s="6">
        <v>5825.2</v>
      </c>
      <c r="H77" s="6">
        <v>5825.2</v>
      </c>
      <c r="J77" s="6">
        <v>5.059999999999491</v>
      </c>
      <c r="K77" s="6">
        <v>-0.7262722930633294</v>
      </c>
      <c r="L77" s="6">
        <v>4.333727706936161</v>
      </c>
      <c r="M77" s="6">
        <v>11.484378423380825</v>
      </c>
      <c r="N77" s="6">
        <v>556.1789456958114</v>
      </c>
      <c r="O77" s="10">
        <v>1</v>
      </c>
      <c r="P77" s="6" t="s">
        <v>39</v>
      </c>
      <c r="Q77" s="1">
        <v>24</v>
      </c>
      <c r="R77" s="56" t="s">
        <v>70</v>
      </c>
      <c r="S77" s="54">
        <v>7620.75</v>
      </c>
      <c r="T77" s="55">
        <v>945.9851711695408</v>
      </c>
      <c r="U77" s="2" t="s">
        <v>21</v>
      </c>
      <c r="V77" s="30">
        <v>43496</v>
      </c>
      <c r="W77" s="37">
        <v>1000</v>
      </c>
      <c r="X77" s="31">
        <v>7632.74</v>
      </c>
      <c r="Y77" s="31"/>
      <c r="Z77" s="31"/>
      <c r="AA77" s="31"/>
      <c r="AB77" s="31"/>
      <c r="AC77" s="57">
        <f t="shared" si="6"/>
        <v>7632.74</v>
      </c>
      <c r="AD77" s="34">
        <f t="shared" si="7"/>
        <v>11.989999999999782</v>
      </c>
      <c r="AE77" s="38">
        <f t="shared" si="8"/>
        <v>1.614965791364199</v>
      </c>
      <c r="AF77" s="39">
        <f t="shared" si="9"/>
        <v>13.60496579136398</v>
      </c>
      <c r="AG77" s="4">
        <f t="shared" si="21"/>
        <v>37.68575524207823</v>
      </c>
      <c r="AH77" s="40">
        <f t="shared" si="10"/>
        <v>-16.329073588381007</v>
      </c>
      <c r="AI77" s="41">
        <v>1</v>
      </c>
      <c r="AJ77" s="36" t="s">
        <v>39</v>
      </c>
      <c r="AK77" s="1">
        <v>24</v>
      </c>
      <c r="AL77" s="2" t="s">
        <v>70</v>
      </c>
      <c r="AM77" s="2" t="s">
        <v>21</v>
      </c>
      <c r="AN77" s="72">
        <v>43521</v>
      </c>
      <c r="AO77" s="73"/>
      <c r="AP77" s="74">
        <v>7638.6900000000005</v>
      </c>
      <c r="AQ77" s="74"/>
      <c r="AR77" s="74"/>
      <c r="AS77" s="74"/>
      <c r="AT77" s="74"/>
      <c r="AU77" s="79">
        <f t="shared" si="11"/>
        <v>7638.6900000000005</v>
      </c>
      <c r="AV77" s="81">
        <f t="shared" si="12"/>
        <v>5.950000000000728</v>
      </c>
      <c r="AW77" s="80">
        <f t="shared" si="13"/>
        <v>3.090475316922106</v>
      </c>
      <c r="AX77" s="85">
        <f t="shared" si="22"/>
        <v>9.040475316922834</v>
      </c>
      <c r="AY77" s="91">
        <f t="shared" si="23"/>
        <v>25.47531031501413</v>
      </c>
      <c r="AZ77" s="88">
        <f t="shared" si="24"/>
        <v>9.146236726633123</v>
      </c>
      <c r="BA77" s="22">
        <v>1</v>
      </c>
      <c r="BB77" s="7" t="s">
        <v>39</v>
      </c>
      <c r="BC77" s="12">
        <v>24</v>
      </c>
      <c r="BD77" s="7" t="s">
        <v>70</v>
      </c>
      <c r="BE77" s="7" t="s">
        <v>21</v>
      </c>
      <c r="BF77" s="8">
        <v>43555</v>
      </c>
      <c r="BG77" s="16"/>
      <c r="BH77" s="7">
        <v>7746.53</v>
      </c>
      <c r="BI77" s="7"/>
      <c r="BJ77" s="7"/>
      <c r="BK77" s="7"/>
      <c r="BL77" s="7"/>
      <c r="BM77" s="17">
        <f t="shared" si="14"/>
        <v>7746.53</v>
      </c>
      <c r="BN77" s="18">
        <f t="shared" si="25"/>
        <v>107.83999999999924</v>
      </c>
      <c r="BO77" s="19">
        <f t="shared" si="26"/>
        <v>-31.96397399649286</v>
      </c>
      <c r="BP77" s="15">
        <f t="shared" si="27"/>
        <v>75.87602600350638</v>
      </c>
      <c r="BQ77" s="11">
        <f t="shared" si="28"/>
        <v>213.970393329888</v>
      </c>
      <c r="BR77" s="46">
        <f t="shared" si="29"/>
        <v>223.11663005652113</v>
      </c>
      <c r="BS77" s="22">
        <v>1</v>
      </c>
      <c r="BT77" s="7" t="s">
        <v>39</v>
      </c>
      <c r="BU77" s="12">
        <v>24</v>
      </c>
      <c r="BV77" s="7" t="s">
        <v>70</v>
      </c>
      <c r="BW77" s="7" t="s">
        <v>21</v>
      </c>
      <c r="BX77" s="8">
        <v>43585</v>
      </c>
      <c r="BY77" s="16"/>
      <c r="BZ77" s="7">
        <v>7840.27</v>
      </c>
      <c r="CA77" s="7"/>
      <c r="CB77" s="7"/>
      <c r="CC77" s="7"/>
      <c r="CD77" s="7"/>
      <c r="CE77" s="17">
        <v>7840.27</v>
      </c>
      <c r="CF77" s="18">
        <f t="shared" si="30"/>
        <v>93.74000000000069</v>
      </c>
      <c r="CG77" s="19">
        <f t="shared" si="31"/>
        <v>5.03428504707465</v>
      </c>
      <c r="CH77" s="20">
        <f t="shared" si="32"/>
        <v>98.77428504707534</v>
      </c>
      <c r="CI77" s="11">
        <f t="shared" si="33"/>
        <v>278.54348383275243</v>
      </c>
      <c r="CJ77" s="46">
        <f t="shared" si="34"/>
        <v>501.6601138892736</v>
      </c>
      <c r="CK77" s="22">
        <v>1</v>
      </c>
      <c r="CL77" s="7" t="s">
        <v>39</v>
      </c>
      <c r="CM77" s="12">
        <v>24</v>
      </c>
      <c r="CN77" s="7" t="s">
        <v>70</v>
      </c>
      <c r="CO77" s="7" t="s">
        <v>21</v>
      </c>
      <c r="CP77" s="8">
        <v>43615</v>
      </c>
      <c r="CQ77" s="16">
        <v>1000</v>
      </c>
      <c r="CR77" s="7">
        <v>8082.95</v>
      </c>
      <c r="CS77" s="7"/>
      <c r="CT77" s="7"/>
      <c r="CU77" s="7"/>
      <c r="CV77" s="7"/>
      <c r="CW77" s="17">
        <v>8082.95</v>
      </c>
      <c r="CX77" s="18">
        <f t="shared" si="35"/>
        <v>242.67999999999938</v>
      </c>
      <c r="CY77" s="19">
        <f t="shared" si="36"/>
        <v>104.53047557265893</v>
      </c>
      <c r="CZ77" s="15">
        <f t="shared" si="37"/>
        <v>347.2104755726583</v>
      </c>
      <c r="DA77" s="11">
        <f t="shared" si="38"/>
        <v>979.1335411148964</v>
      </c>
      <c r="DB77" s="46">
        <f t="shared" si="39"/>
        <v>480.79365500417</v>
      </c>
      <c r="DC77" s="22">
        <v>1</v>
      </c>
      <c r="DD77" s="7" t="s">
        <v>39</v>
      </c>
      <c r="DE77" s="1">
        <v>24</v>
      </c>
      <c r="DF77" s="2" t="s">
        <v>70</v>
      </c>
      <c r="DG77" s="2" t="s">
        <v>21</v>
      </c>
      <c r="DH77" s="30">
        <v>43646</v>
      </c>
      <c r="DI77" s="37"/>
      <c r="DJ77" s="31">
        <v>8464.95</v>
      </c>
      <c r="DK77" s="58"/>
      <c r="DL77" s="58"/>
      <c r="DM77" s="58"/>
      <c r="DN77" s="35"/>
      <c r="DO77" s="57">
        <f t="shared" si="15"/>
        <v>8464.95</v>
      </c>
      <c r="DP77" s="18">
        <f t="shared" si="40"/>
        <v>382.0000000000009</v>
      </c>
      <c r="DQ77" s="19">
        <f t="shared" si="41"/>
        <v>-7.055701803460062</v>
      </c>
      <c r="DR77" s="15">
        <f t="shared" si="42"/>
        <v>374.94429819654084</v>
      </c>
      <c r="DS77" s="11">
        <f t="shared" si="43"/>
        <v>1057.342920914245</v>
      </c>
      <c r="DT77" s="46">
        <f t="shared" si="44"/>
        <v>1538.136575918415</v>
      </c>
      <c r="DU77" s="22">
        <v>1</v>
      </c>
      <c r="DV77" s="7" t="s">
        <v>39</v>
      </c>
      <c r="DW77" s="12">
        <v>24</v>
      </c>
      <c r="DX77" s="7" t="s">
        <v>70</v>
      </c>
      <c r="DY77" s="7" t="s">
        <v>21</v>
      </c>
      <c r="DZ77" s="8">
        <v>43677</v>
      </c>
      <c r="EA77" s="16"/>
      <c r="EB77" s="7">
        <v>8867.460000000001</v>
      </c>
      <c r="EC77" s="7"/>
      <c r="ED77" s="7"/>
      <c r="EE77" s="7"/>
      <c r="EF77" s="7"/>
      <c r="EG77" s="17">
        <v>8867.460000000001</v>
      </c>
      <c r="EH77" s="18">
        <f t="shared" si="45"/>
        <v>402.5100000000002</v>
      </c>
      <c r="EI77" s="19">
        <f t="shared" si="46"/>
        <v>69.52817824838314</v>
      </c>
      <c r="EJ77" s="15">
        <f t="shared" si="47"/>
        <v>472.03817824838336</v>
      </c>
      <c r="EK77" s="11">
        <f t="shared" si="48"/>
        <v>1368.9107169203116</v>
      </c>
      <c r="EL77" s="125">
        <f t="shared" si="49"/>
        <v>2907.0472928387267</v>
      </c>
      <c r="EM77" s="22">
        <v>1</v>
      </c>
      <c r="EN77" s="7" t="s">
        <v>39</v>
      </c>
      <c r="EO77" s="12">
        <v>24</v>
      </c>
      <c r="EP77" s="7" t="s">
        <v>70</v>
      </c>
      <c r="EQ77" s="7" t="s">
        <v>21</v>
      </c>
      <c r="ER77" s="8">
        <v>43708</v>
      </c>
      <c r="ES77" s="16">
        <v>3000</v>
      </c>
      <c r="ET77" s="7">
        <v>9269.93</v>
      </c>
      <c r="EU77" s="7"/>
      <c r="EV77" s="7"/>
      <c r="EW77" s="7"/>
      <c r="EX77" s="7"/>
      <c r="EY77" s="17">
        <f t="shared" si="16"/>
        <v>9269.93</v>
      </c>
      <c r="EZ77" s="18">
        <f t="shared" si="50"/>
        <v>402.46999999999935</v>
      </c>
      <c r="FA77" s="19">
        <f t="shared" si="51"/>
        <v>45.8435644107187</v>
      </c>
      <c r="FB77" s="15">
        <f t="shared" si="52"/>
        <v>448.3135644107181</v>
      </c>
      <c r="FC77" s="11">
        <f t="shared" si="53"/>
        <v>1300.1093367910823</v>
      </c>
      <c r="FD77" s="21">
        <f t="shared" si="54"/>
        <v>1207.156629629809</v>
      </c>
      <c r="FE77" s="22">
        <v>1</v>
      </c>
      <c r="FF77" s="7" t="s">
        <v>39</v>
      </c>
      <c r="FG77" s="7">
        <v>24</v>
      </c>
      <c r="FH77" s="7" t="s">
        <v>70</v>
      </c>
      <c r="FI77" s="7" t="s">
        <v>21</v>
      </c>
      <c r="FJ77" s="8">
        <v>43735</v>
      </c>
      <c r="FK77" s="16">
        <v>1000</v>
      </c>
      <c r="FL77" s="7">
        <v>9447.14</v>
      </c>
      <c r="FM77" s="7"/>
      <c r="FN77" s="7"/>
      <c r="FO77" s="7"/>
      <c r="FP77" s="7"/>
      <c r="FQ77" s="17">
        <v>9447.14</v>
      </c>
      <c r="FR77" s="18">
        <f t="shared" si="55"/>
        <v>177.20999999999913</v>
      </c>
      <c r="FS77" s="19">
        <f t="shared" si="56"/>
        <v>1.325972937470044</v>
      </c>
      <c r="FT77" s="15">
        <f t="shared" si="57"/>
        <v>178.53597293746918</v>
      </c>
      <c r="FU77" s="11">
        <f t="shared" si="58"/>
        <v>517.7543215186606</v>
      </c>
      <c r="FV77" s="128">
        <f t="shared" si="17"/>
        <v>-39.317161059832614</v>
      </c>
      <c r="FW77" s="13">
        <f t="shared" si="59"/>
        <v>478.437160458828</v>
      </c>
      <c r="FX77" s="21">
        <f t="shared" si="60"/>
        <v>685.593790088637</v>
      </c>
      <c r="FY77" s="22">
        <v>1</v>
      </c>
      <c r="FZ77" s="7" t="s">
        <v>39</v>
      </c>
      <c r="GA77" s="134">
        <v>24</v>
      </c>
      <c r="GB77" s="135" t="s">
        <v>70</v>
      </c>
      <c r="GC77" s="135" t="s">
        <v>21</v>
      </c>
      <c r="GD77" s="136">
        <v>43771</v>
      </c>
      <c r="GE77" s="138">
        <v>2000</v>
      </c>
      <c r="GF77" s="139">
        <v>9552.210000000001</v>
      </c>
      <c r="GG77" s="3"/>
      <c r="GH77" s="3"/>
      <c r="GI77" s="3"/>
      <c r="GJ77" s="3"/>
      <c r="GK77" s="32">
        <f t="shared" si="18"/>
        <v>9552.210000000001</v>
      </c>
      <c r="GL77" s="18">
        <f t="shared" si="61"/>
        <v>105.07000000000153</v>
      </c>
      <c r="GM77" s="19">
        <f t="shared" si="62"/>
        <v>-12.156904296947209</v>
      </c>
      <c r="GN77" s="15">
        <f t="shared" si="63"/>
        <v>92.91309570305432</v>
      </c>
      <c r="GO77" s="11">
        <f t="shared" si="64"/>
        <v>269.4479775388575</v>
      </c>
      <c r="GP77" s="7">
        <f t="shared" si="19"/>
        <v>-39.786714909986465</v>
      </c>
      <c r="GQ77" s="13">
        <f t="shared" si="65"/>
        <v>229.66126262887104</v>
      </c>
      <c r="GR77" s="46">
        <f t="shared" si="66"/>
        <v>-1084.744947282492</v>
      </c>
      <c r="GS77" s="22">
        <v>1</v>
      </c>
      <c r="GT77" s="7" t="s">
        <v>39</v>
      </c>
      <c r="GU77" s="148">
        <v>24</v>
      </c>
      <c r="GV77" s="148" t="s">
        <v>70</v>
      </c>
      <c r="GW77" s="148" t="s">
        <v>21</v>
      </c>
      <c r="GX77" s="155">
        <v>43797</v>
      </c>
      <c r="GY77" s="156"/>
      <c r="GZ77" s="148">
        <v>9561.34</v>
      </c>
      <c r="HA77" s="157"/>
      <c r="HB77" s="157"/>
      <c r="HC77" s="157"/>
      <c r="HD77" s="157"/>
      <c r="HE77" s="158">
        <f t="shared" si="20"/>
        <v>9561.34</v>
      </c>
      <c r="HF77" s="18">
        <f t="shared" si="67"/>
        <v>9.1299999999992</v>
      </c>
      <c r="HG77" s="19">
        <f t="shared" si="68"/>
        <v>2.2377684112895966</v>
      </c>
      <c r="HH77" s="15">
        <f t="shared" si="69"/>
        <v>11.367768411288797</v>
      </c>
      <c r="HI77" s="11">
        <f t="shared" si="70"/>
        <v>32.96652839273751</v>
      </c>
      <c r="HJ77" s="7">
        <f t="shared" si="71"/>
        <v>-4.172434997490387</v>
      </c>
      <c r="HK77" s="13">
        <f t="shared" si="72"/>
        <v>28.79409339524712</v>
      </c>
      <c r="HL77" s="46">
        <f t="shared" si="73"/>
        <v>-1055.9508538872449</v>
      </c>
      <c r="HM77" s="22">
        <v>1</v>
      </c>
      <c r="HN77" s="7" t="s">
        <v>39</v>
      </c>
      <c r="HO77" s="12">
        <v>24</v>
      </c>
      <c r="HP77" s="7" t="s">
        <v>70</v>
      </c>
      <c r="HQ77" s="7" t="s">
        <v>21</v>
      </c>
      <c r="HR77" s="8">
        <v>43830</v>
      </c>
      <c r="HS77" s="171"/>
      <c r="HT77" s="7">
        <v>9563.23</v>
      </c>
      <c r="HU77" s="7"/>
      <c r="HV77" s="7"/>
      <c r="HW77" s="7"/>
      <c r="HX77" s="7"/>
      <c r="HY77" s="17">
        <v>9563.23</v>
      </c>
      <c r="HZ77" s="18">
        <f t="shared" si="74"/>
        <v>1.889999999999418</v>
      </c>
      <c r="IA77" s="19">
        <f t="shared" si="75"/>
        <v>0.2267999999999303</v>
      </c>
      <c r="IB77" s="20">
        <f t="shared" si="76"/>
        <v>2.116799999999348</v>
      </c>
      <c r="IC77" s="11">
        <f t="shared" si="77"/>
        <v>6.138719999998109</v>
      </c>
      <c r="ID77" s="7">
        <f t="shared" si="78"/>
        <v>-0.6244432142776137</v>
      </c>
      <c r="IE77" s="13">
        <f t="shared" si="79"/>
        <v>5.5142767857204955</v>
      </c>
      <c r="IF77" s="46">
        <f t="shared" si="80"/>
        <v>-1050.4365771015243</v>
      </c>
      <c r="IG77" s="22">
        <v>1</v>
      </c>
      <c r="IH77" s="7" t="s">
        <v>39</v>
      </c>
    </row>
    <row r="78" spans="1:242" ht="19.5" customHeight="1">
      <c r="A78" s="10">
        <v>25</v>
      </c>
      <c r="B78" s="6" t="s">
        <v>71</v>
      </c>
      <c r="C78" s="6" t="s">
        <v>10</v>
      </c>
      <c r="D78" s="5">
        <v>43100</v>
      </c>
      <c r="F78" s="6">
        <v>3057.98</v>
      </c>
      <c r="H78" s="6">
        <v>3057.98</v>
      </c>
      <c r="J78" s="6">
        <v>0</v>
      </c>
      <c r="K78" s="6">
        <v>0</v>
      </c>
      <c r="L78" s="6">
        <v>0</v>
      </c>
      <c r="M78" s="6">
        <v>0</v>
      </c>
      <c r="N78" s="6">
        <v>355.10080463872515</v>
      </c>
      <c r="O78" s="10">
        <v>1</v>
      </c>
      <c r="P78" s="6" t="s">
        <v>39</v>
      </c>
      <c r="Q78" s="1">
        <v>25</v>
      </c>
      <c r="R78" s="56" t="s">
        <v>71</v>
      </c>
      <c r="S78" s="54">
        <v>6909.35</v>
      </c>
      <c r="T78" s="55">
        <v>4570.969385040153</v>
      </c>
      <c r="U78" s="2" t="s">
        <v>102</v>
      </c>
      <c r="V78" s="30">
        <v>43496</v>
      </c>
      <c r="W78" s="37">
        <v>7000</v>
      </c>
      <c r="X78" s="31">
        <v>4313.27</v>
      </c>
      <c r="Y78" s="31"/>
      <c r="Z78" s="49"/>
      <c r="AA78" s="49">
        <v>4482.45</v>
      </c>
      <c r="AB78" s="58"/>
      <c r="AC78" s="57">
        <f t="shared" si="6"/>
        <v>8795.720000000001</v>
      </c>
      <c r="AD78" s="34">
        <f t="shared" si="7"/>
        <v>1886.3700000000008</v>
      </c>
      <c r="AE78" s="38">
        <f t="shared" si="8"/>
        <v>254.08031858680073</v>
      </c>
      <c r="AF78" s="39">
        <f t="shared" si="9"/>
        <v>2140.4503185868016</v>
      </c>
      <c r="AG78" s="4">
        <f t="shared" si="21"/>
        <v>5929.047382485441</v>
      </c>
      <c r="AH78" s="40">
        <f t="shared" si="10"/>
        <v>3500.0167675255934</v>
      </c>
      <c r="AI78" s="41">
        <v>2</v>
      </c>
      <c r="AJ78" s="36" t="s">
        <v>39</v>
      </c>
      <c r="AK78" s="1">
        <v>25</v>
      </c>
      <c r="AL78" s="2" t="s">
        <v>71</v>
      </c>
      <c r="AM78" s="2" t="s">
        <v>102</v>
      </c>
      <c r="AN78" s="72">
        <v>43521</v>
      </c>
      <c r="AO78" s="73">
        <v>5000</v>
      </c>
      <c r="AP78" s="74">
        <v>6403.37</v>
      </c>
      <c r="AQ78" s="74"/>
      <c r="AR78" s="77"/>
      <c r="AS78" s="77">
        <v>4482.45</v>
      </c>
      <c r="AT78" s="78"/>
      <c r="AU78" s="79">
        <f t="shared" si="11"/>
        <v>10885.82</v>
      </c>
      <c r="AV78" s="81">
        <f t="shared" si="12"/>
        <v>2090.0999999999985</v>
      </c>
      <c r="AW78" s="80">
        <f t="shared" si="13"/>
        <v>1085.6138588064032</v>
      </c>
      <c r="AX78" s="85">
        <f t="shared" si="22"/>
        <v>3175.7138588064017</v>
      </c>
      <c r="AY78" s="91">
        <f t="shared" si="23"/>
        <v>8948.898502420921</v>
      </c>
      <c r="AZ78" s="88">
        <f t="shared" si="24"/>
        <v>7448.915269946515</v>
      </c>
      <c r="BA78" s="22">
        <v>2</v>
      </c>
      <c r="BB78" s="7" t="s">
        <v>39</v>
      </c>
      <c r="BC78" s="12">
        <v>25</v>
      </c>
      <c r="BD78" s="7" t="s">
        <v>71</v>
      </c>
      <c r="BE78" s="7" t="s">
        <v>102</v>
      </c>
      <c r="BF78" s="8">
        <v>43555</v>
      </c>
      <c r="BG78" s="16">
        <v>8000</v>
      </c>
      <c r="BH78" s="7">
        <v>8035.79</v>
      </c>
      <c r="BI78" s="7"/>
      <c r="BJ78" s="7"/>
      <c r="BK78" s="7">
        <v>4482.45</v>
      </c>
      <c r="BL78" s="7"/>
      <c r="BM78" s="17">
        <f t="shared" si="14"/>
        <v>12518.24</v>
      </c>
      <c r="BN78" s="18">
        <f t="shared" si="25"/>
        <v>1632.42</v>
      </c>
      <c r="BO78" s="19">
        <f t="shared" si="26"/>
        <v>-483.852285157226</v>
      </c>
      <c r="BP78" s="15">
        <f t="shared" si="27"/>
        <v>1148.567714842774</v>
      </c>
      <c r="BQ78" s="11">
        <f t="shared" si="28"/>
        <v>3238.9609558566226</v>
      </c>
      <c r="BR78" s="46">
        <f t="shared" si="29"/>
        <v>2687.8762258031375</v>
      </c>
      <c r="BS78" s="22">
        <v>2</v>
      </c>
      <c r="BT78" s="7" t="s">
        <v>39</v>
      </c>
      <c r="BU78" s="12">
        <v>25</v>
      </c>
      <c r="BV78" s="7" t="s">
        <v>71</v>
      </c>
      <c r="BW78" s="7" t="s">
        <v>102</v>
      </c>
      <c r="BX78" s="8">
        <v>43585</v>
      </c>
      <c r="BY78" s="16">
        <v>5000</v>
      </c>
      <c r="BZ78" s="7">
        <v>8862.87</v>
      </c>
      <c r="CA78" s="7"/>
      <c r="CB78" s="7"/>
      <c r="CC78" s="7">
        <v>4482.45</v>
      </c>
      <c r="CD78" s="7"/>
      <c r="CE78" s="17">
        <v>13345.32</v>
      </c>
      <c r="CF78" s="18">
        <f t="shared" si="30"/>
        <v>827.0799999999999</v>
      </c>
      <c r="CG78" s="19">
        <f t="shared" si="31"/>
        <v>44.418140353472054</v>
      </c>
      <c r="CH78" s="20">
        <f t="shared" si="32"/>
        <v>871.498140353472</v>
      </c>
      <c r="CI78" s="11">
        <f t="shared" si="33"/>
        <v>2457.624755796791</v>
      </c>
      <c r="CJ78" s="46">
        <f t="shared" si="34"/>
        <v>145.5009815999283</v>
      </c>
      <c r="CK78" s="22">
        <v>2</v>
      </c>
      <c r="CL78" s="7" t="s">
        <v>39</v>
      </c>
      <c r="CM78" s="12">
        <v>25</v>
      </c>
      <c r="CN78" s="7" t="s">
        <v>71</v>
      </c>
      <c r="CO78" s="7" t="s">
        <v>102</v>
      </c>
      <c r="CP78" s="8">
        <v>43615</v>
      </c>
      <c r="CQ78" s="16">
        <v>500</v>
      </c>
      <c r="CR78" s="7">
        <v>9457.84</v>
      </c>
      <c r="CS78" s="7"/>
      <c r="CT78" s="7"/>
      <c r="CU78" s="7">
        <v>4482.45</v>
      </c>
      <c r="CV78" s="7"/>
      <c r="CW78" s="17">
        <v>13940.29</v>
      </c>
      <c r="CX78" s="18">
        <f t="shared" si="35"/>
        <v>594.9700000000012</v>
      </c>
      <c r="CY78" s="19">
        <f t="shared" si="36"/>
        <v>256.2736816032024</v>
      </c>
      <c r="CZ78" s="15">
        <f t="shared" si="37"/>
        <v>851.2436816032036</v>
      </c>
      <c r="DA78" s="11">
        <f t="shared" si="38"/>
        <v>2400.507182121034</v>
      </c>
      <c r="DB78" s="46">
        <f t="shared" si="39"/>
        <v>2046.0081637209623</v>
      </c>
      <c r="DC78" s="22">
        <v>2</v>
      </c>
      <c r="DD78" s="7" t="s">
        <v>39</v>
      </c>
      <c r="DE78" s="1">
        <v>25</v>
      </c>
      <c r="DF78" s="2" t="s">
        <v>71</v>
      </c>
      <c r="DG78" s="2" t="s">
        <v>102</v>
      </c>
      <c r="DH78" s="30">
        <v>43646</v>
      </c>
      <c r="DI78" s="37"/>
      <c r="DJ78" s="31">
        <v>9572.11</v>
      </c>
      <c r="DK78" s="58"/>
      <c r="DL78" s="58"/>
      <c r="DM78" s="58">
        <v>4482.45</v>
      </c>
      <c r="DN78" s="35"/>
      <c r="DO78" s="57">
        <f t="shared" si="15"/>
        <v>14054.560000000001</v>
      </c>
      <c r="DP78" s="18">
        <f t="shared" si="40"/>
        <v>114.27000000000044</v>
      </c>
      <c r="DQ78" s="19">
        <f t="shared" si="41"/>
        <v>-2.110615301260163</v>
      </c>
      <c r="DR78" s="15">
        <f t="shared" si="42"/>
        <v>112.15938469874027</v>
      </c>
      <c r="DS78" s="11">
        <f t="shared" si="43"/>
        <v>316.28946485044753</v>
      </c>
      <c r="DT78" s="46">
        <f t="shared" si="44"/>
        <v>2362.29762857141</v>
      </c>
      <c r="DU78" s="22">
        <v>2</v>
      </c>
      <c r="DV78" s="7" t="s">
        <v>39</v>
      </c>
      <c r="DW78" s="12">
        <v>25</v>
      </c>
      <c r="DX78" s="7" t="s">
        <v>71</v>
      </c>
      <c r="DY78" s="7" t="s">
        <v>102</v>
      </c>
      <c r="DZ78" s="8">
        <v>43677</v>
      </c>
      <c r="EA78" s="16"/>
      <c r="EB78" s="7">
        <v>9657.03</v>
      </c>
      <c r="EC78" s="7"/>
      <c r="ED78" s="7"/>
      <c r="EE78" s="7">
        <v>4482.45</v>
      </c>
      <c r="EF78" s="7"/>
      <c r="EG78" s="17">
        <v>14139.48</v>
      </c>
      <c r="EH78" s="18">
        <f t="shared" si="45"/>
        <v>84.91999999999825</v>
      </c>
      <c r="EI78" s="19">
        <f t="shared" si="46"/>
        <v>14.668785612413535</v>
      </c>
      <c r="EJ78" s="15">
        <f t="shared" si="47"/>
        <v>99.58878561241178</v>
      </c>
      <c r="EK78" s="11">
        <f t="shared" si="48"/>
        <v>288.8074782759942</v>
      </c>
      <c r="EL78" s="125">
        <f t="shared" si="49"/>
        <v>2651.105106847404</v>
      </c>
      <c r="EM78" s="22">
        <v>2</v>
      </c>
      <c r="EN78" s="7" t="s">
        <v>39</v>
      </c>
      <c r="EO78" s="12">
        <v>25</v>
      </c>
      <c r="EP78" s="7" t="s">
        <v>71</v>
      </c>
      <c r="EQ78" s="7" t="s">
        <v>102</v>
      </c>
      <c r="ER78" s="8">
        <v>43708</v>
      </c>
      <c r="ES78" s="16">
        <v>5000</v>
      </c>
      <c r="ET78" s="7">
        <v>9797.97</v>
      </c>
      <c r="EU78" s="7"/>
      <c r="EV78" s="7"/>
      <c r="EW78" s="7">
        <v>4482.45</v>
      </c>
      <c r="EX78" s="7"/>
      <c r="EY78" s="17">
        <f t="shared" si="16"/>
        <v>14280.419999999998</v>
      </c>
      <c r="EZ78" s="18">
        <f t="shared" si="50"/>
        <v>140.9399999999987</v>
      </c>
      <c r="FA78" s="19">
        <f t="shared" si="51"/>
        <v>16.053847412345377</v>
      </c>
      <c r="FB78" s="15">
        <f t="shared" si="52"/>
        <v>156.99384741234405</v>
      </c>
      <c r="FC78" s="11">
        <f t="shared" si="53"/>
        <v>455.2821574957977</v>
      </c>
      <c r="FD78" s="21">
        <f t="shared" si="54"/>
        <v>-1893.6127356567983</v>
      </c>
      <c r="FE78" s="22">
        <v>2</v>
      </c>
      <c r="FF78" s="7" t="s">
        <v>39</v>
      </c>
      <c r="FG78" s="7">
        <v>25</v>
      </c>
      <c r="FH78" s="7" t="s">
        <v>71</v>
      </c>
      <c r="FI78" s="7" t="s">
        <v>102</v>
      </c>
      <c r="FJ78" s="8">
        <v>43735</v>
      </c>
      <c r="FK78" s="16"/>
      <c r="FL78" s="7">
        <v>9996.76</v>
      </c>
      <c r="FM78" s="7"/>
      <c r="FN78" s="7"/>
      <c r="FO78" s="7">
        <v>4482.45</v>
      </c>
      <c r="FP78" s="7"/>
      <c r="FQ78" s="17">
        <v>14479.21</v>
      </c>
      <c r="FR78" s="18">
        <f t="shared" si="55"/>
        <v>198.79000000000087</v>
      </c>
      <c r="FS78" s="19">
        <f t="shared" si="56"/>
        <v>1.487445179389834</v>
      </c>
      <c r="FT78" s="15">
        <f t="shared" si="57"/>
        <v>200.2774451793907</v>
      </c>
      <c r="FU78" s="11">
        <f t="shared" si="58"/>
        <v>580.804591020233</v>
      </c>
      <c r="FV78" s="128">
        <f t="shared" si="17"/>
        <v>-44.10506431400145</v>
      </c>
      <c r="FW78" s="13">
        <f t="shared" si="59"/>
        <v>536.6995267062316</v>
      </c>
      <c r="FX78" s="21">
        <f t="shared" si="60"/>
        <v>-1356.9132089505667</v>
      </c>
      <c r="FY78" s="22">
        <v>2</v>
      </c>
      <c r="FZ78" s="7" t="s">
        <v>39</v>
      </c>
      <c r="GA78" s="134">
        <v>25</v>
      </c>
      <c r="GB78" s="135" t="s">
        <v>71</v>
      </c>
      <c r="GC78" s="135" t="s">
        <v>102</v>
      </c>
      <c r="GD78" s="136">
        <v>43771</v>
      </c>
      <c r="GE78" s="138">
        <v>5000</v>
      </c>
      <c r="GF78" s="139">
        <v>11284.79</v>
      </c>
      <c r="GG78" s="3"/>
      <c r="GH78" s="3"/>
      <c r="GI78" s="3">
        <v>4482.45</v>
      </c>
      <c r="GJ78" s="3"/>
      <c r="GK78" s="32">
        <f t="shared" si="18"/>
        <v>15767.240000000002</v>
      </c>
      <c r="GL78" s="18">
        <f t="shared" si="61"/>
        <v>1288.0300000000025</v>
      </c>
      <c r="GM78" s="19">
        <f t="shared" si="62"/>
        <v>-149.0288135680662</v>
      </c>
      <c r="GN78" s="15">
        <f t="shared" si="63"/>
        <v>1139.0011864319363</v>
      </c>
      <c r="GO78" s="11">
        <f t="shared" si="64"/>
        <v>3303.103440652615</v>
      </c>
      <c r="GP78" s="7">
        <f t="shared" si="19"/>
        <v>-487.73657947567546</v>
      </c>
      <c r="GQ78" s="13">
        <f t="shared" si="65"/>
        <v>2815.3668611769394</v>
      </c>
      <c r="GR78" s="46">
        <f t="shared" si="66"/>
        <v>-3541.546347773627</v>
      </c>
      <c r="GS78" s="22">
        <v>2</v>
      </c>
      <c r="GT78" s="7" t="s">
        <v>39</v>
      </c>
      <c r="GU78" s="148">
        <v>25</v>
      </c>
      <c r="GV78" s="148" t="s">
        <v>71</v>
      </c>
      <c r="GW78" s="148" t="s">
        <v>102</v>
      </c>
      <c r="GX78" s="155">
        <v>43795</v>
      </c>
      <c r="GY78" s="156"/>
      <c r="GZ78" s="148">
        <v>11425.35</v>
      </c>
      <c r="HA78" s="157"/>
      <c r="HB78" s="157"/>
      <c r="HC78" s="157">
        <v>4482.45</v>
      </c>
      <c r="HD78" s="157"/>
      <c r="HE78" s="158">
        <f t="shared" si="20"/>
        <v>15907.8</v>
      </c>
      <c r="HF78" s="18">
        <f t="shared" si="67"/>
        <v>140.55999999999767</v>
      </c>
      <c r="HG78" s="19">
        <f t="shared" si="68"/>
        <v>34.45133930896912</v>
      </c>
      <c r="HH78" s="15">
        <f t="shared" si="69"/>
        <v>175.0113393089668</v>
      </c>
      <c r="HI78" s="11">
        <f t="shared" si="70"/>
        <v>507.5328839960037</v>
      </c>
      <c r="HJ78" s="7">
        <f t="shared" si="71"/>
        <v>-64.2363048463626</v>
      </c>
      <c r="HK78" s="13">
        <f t="shared" si="72"/>
        <v>443.2965791496411</v>
      </c>
      <c r="HL78" s="46">
        <f t="shared" si="73"/>
        <v>-3098.249768623986</v>
      </c>
      <c r="HM78" s="22">
        <v>2</v>
      </c>
      <c r="HN78" s="7" t="s">
        <v>39</v>
      </c>
      <c r="HO78" s="12">
        <v>25</v>
      </c>
      <c r="HP78" s="7" t="s">
        <v>71</v>
      </c>
      <c r="HQ78" s="7" t="s">
        <v>102</v>
      </c>
      <c r="HR78" s="8">
        <v>43830</v>
      </c>
      <c r="HS78" s="171"/>
      <c r="HT78" s="7">
        <v>11430.23</v>
      </c>
      <c r="HU78" s="7"/>
      <c r="HV78" s="7"/>
      <c r="HW78" s="7">
        <v>4482.45</v>
      </c>
      <c r="HX78" s="7"/>
      <c r="HY78" s="17">
        <v>15912.68</v>
      </c>
      <c r="HZ78" s="18">
        <f t="shared" si="74"/>
        <v>4.880000000001019</v>
      </c>
      <c r="IA78" s="19">
        <f t="shared" si="75"/>
        <v>0.5856000000001226</v>
      </c>
      <c r="IB78" s="20">
        <f t="shared" si="76"/>
        <v>5.4656000000011415</v>
      </c>
      <c r="IC78" s="11">
        <f t="shared" si="77"/>
        <v>15.85024000000331</v>
      </c>
      <c r="ID78" s="7">
        <f t="shared" si="78"/>
        <v>-1.6123189871303336</v>
      </c>
      <c r="IE78" s="13">
        <f t="shared" si="79"/>
        <v>14.237921012872977</v>
      </c>
      <c r="IF78" s="46">
        <f t="shared" si="80"/>
        <v>-3084.011847611113</v>
      </c>
      <c r="IG78" s="22">
        <v>2</v>
      </c>
      <c r="IH78" s="7" t="s">
        <v>39</v>
      </c>
    </row>
    <row r="79" spans="1:242" ht="19.5" customHeight="1">
      <c r="A79" s="10">
        <v>26</v>
      </c>
      <c r="B79" s="6" t="s">
        <v>72</v>
      </c>
      <c r="C79" s="6" t="s">
        <v>15</v>
      </c>
      <c r="D79" s="5">
        <v>43100</v>
      </c>
      <c r="E79" s="6">
        <v>10000</v>
      </c>
      <c r="F79" s="6">
        <v>61974.74</v>
      </c>
      <c r="H79" s="6">
        <v>61974.74</v>
      </c>
      <c r="J79" s="6">
        <v>3398.529999999999</v>
      </c>
      <c r="K79" s="6">
        <v>-487.79805852663327</v>
      </c>
      <c r="L79" s="6">
        <v>2910.7319414733656</v>
      </c>
      <c r="M79" s="6">
        <v>7713.439644904419</v>
      </c>
      <c r="N79" s="6">
        <v>5723.041742000101</v>
      </c>
      <c r="O79" s="10">
        <v>1</v>
      </c>
      <c r="P79" s="6" t="s">
        <v>39</v>
      </c>
      <c r="Q79" s="1">
        <v>26</v>
      </c>
      <c r="R79" s="56" t="s">
        <v>72</v>
      </c>
      <c r="S79" s="54">
        <v>91285.94</v>
      </c>
      <c r="T79" s="55">
        <v>16917.455682452804</v>
      </c>
      <c r="U79" s="2" t="s">
        <v>15</v>
      </c>
      <c r="V79" s="30">
        <v>43496</v>
      </c>
      <c r="W79" s="37">
        <v>17000</v>
      </c>
      <c r="X79" s="31">
        <v>96523.75</v>
      </c>
      <c r="Y79" s="31"/>
      <c r="Z79" s="31"/>
      <c r="AA79" s="31"/>
      <c r="AB79" s="31"/>
      <c r="AC79" s="57">
        <f t="shared" si="6"/>
        <v>96523.75</v>
      </c>
      <c r="AD79" s="34">
        <f t="shared" si="7"/>
        <v>5237.809999999998</v>
      </c>
      <c r="AE79" s="38">
        <f t="shared" si="8"/>
        <v>705.494910063842</v>
      </c>
      <c r="AF79" s="39">
        <f t="shared" si="9"/>
        <v>5943.30491006384</v>
      </c>
      <c r="AG79" s="4">
        <f t="shared" si="21"/>
        <v>16462.954600876838</v>
      </c>
      <c r="AH79" s="40">
        <f t="shared" si="10"/>
        <v>16380.410283329642</v>
      </c>
      <c r="AI79" s="41">
        <v>1</v>
      </c>
      <c r="AJ79" s="36" t="s">
        <v>39</v>
      </c>
      <c r="AK79" s="1">
        <v>26</v>
      </c>
      <c r="AL79" s="2" t="s">
        <v>72</v>
      </c>
      <c r="AM79" s="2" t="s">
        <v>15</v>
      </c>
      <c r="AN79" s="72">
        <v>43521</v>
      </c>
      <c r="AO79" s="73">
        <v>16500</v>
      </c>
      <c r="AP79" s="74">
        <v>101020.61</v>
      </c>
      <c r="AQ79" s="74"/>
      <c r="AR79" s="74"/>
      <c r="AS79" s="74"/>
      <c r="AT79" s="74"/>
      <c r="AU79" s="79">
        <f t="shared" si="11"/>
        <v>101020.61</v>
      </c>
      <c r="AV79" s="81">
        <f t="shared" si="12"/>
        <v>4496.860000000001</v>
      </c>
      <c r="AW79" s="80">
        <f>($V$39+$U$9+31.76)/$U$39*AV79-0.01</f>
        <v>2335.693333386999</v>
      </c>
      <c r="AX79" s="85">
        <f t="shared" si="22"/>
        <v>6832.553333386999</v>
      </c>
      <c r="AY79" s="91">
        <f t="shared" si="23"/>
        <v>19253.56912220014</v>
      </c>
      <c r="AZ79" s="88">
        <f t="shared" si="24"/>
        <v>19133.979405529783</v>
      </c>
      <c r="BA79" s="22">
        <v>1</v>
      </c>
      <c r="BB79" s="7" t="s">
        <v>39</v>
      </c>
      <c r="BC79" s="12">
        <v>26</v>
      </c>
      <c r="BD79" s="7" t="s">
        <v>72</v>
      </c>
      <c r="BE79" s="7" t="s">
        <v>15</v>
      </c>
      <c r="BF79" s="8">
        <v>43555</v>
      </c>
      <c r="BG79" s="16">
        <v>20000</v>
      </c>
      <c r="BH79" s="7">
        <v>105036.25</v>
      </c>
      <c r="BI79" s="7"/>
      <c r="BJ79" s="7"/>
      <c r="BK79" s="7"/>
      <c r="BL79" s="7"/>
      <c r="BM79" s="17">
        <f t="shared" si="14"/>
        <v>105036.25</v>
      </c>
      <c r="BN79" s="18">
        <f t="shared" si="25"/>
        <v>4015.6399999999994</v>
      </c>
      <c r="BO79" s="19">
        <f t="shared" si="26"/>
        <v>-1190.243068798938</v>
      </c>
      <c r="BP79" s="15">
        <f t="shared" si="27"/>
        <v>2825.3969312010613</v>
      </c>
      <c r="BQ79" s="11">
        <f t="shared" si="28"/>
        <v>7967.619345986993</v>
      </c>
      <c r="BR79" s="46">
        <f t="shared" si="29"/>
        <v>7101.598751516775</v>
      </c>
      <c r="BS79" s="22">
        <v>1</v>
      </c>
      <c r="BT79" s="7" t="s">
        <v>39</v>
      </c>
      <c r="BU79" s="12">
        <v>26</v>
      </c>
      <c r="BV79" s="7" t="s">
        <v>72</v>
      </c>
      <c r="BW79" s="7" t="s">
        <v>15</v>
      </c>
      <c r="BX79" s="8">
        <v>43585</v>
      </c>
      <c r="BY79" s="16">
        <v>7500</v>
      </c>
      <c r="BZ79" s="7">
        <v>107404.48</v>
      </c>
      <c r="CA79" s="7"/>
      <c r="CB79" s="7"/>
      <c r="CC79" s="7"/>
      <c r="CD79" s="7"/>
      <c r="CE79" s="17">
        <v>107404.48</v>
      </c>
      <c r="CF79" s="18">
        <f t="shared" si="30"/>
        <v>2368.229999999996</v>
      </c>
      <c r="CG79" s="19">
        <f t="shared" si="31"/>
        <v>127.18524511450276</v>
      </c>
      <c r="CH79" s="20">
        <f t="shared" si="32"/>
        <v>2495.4152451144987</v>
      </c>
      <c r="CI79" s="11">
        <f t="shared" si="33"/>
        <v>7037.070991222886</v>
      </c>
      <c r="CJ79" s="46">
        <f t="shared" si="34"/>
        <v>6638.669742739661</v>
      </c>
      <c r="CK79" s="22">
        <v>1</v>
      </c>
      <c r="CL79" s="7" t="s">
        <v>39</v>
      </c>
      <c r="CM79" s="12">
        <v>26</v>
      </c>
      <c r="CN79" s="7" t="s">
        <v>72</v>
      </c>
      <c r="CO79" s="7" t="s">
        <v>15</v>
      </c>
      <c r="CP79" s="8">
        <v>43615</v>
      </c>
      <c r="CQ79" s="16">
        <v>6700</v>
      </c>
      <c r="CR79" s="7">
        <v>108800.21</v>
      </c>
      <c r="CS79" s="7"/>
      <c r="CT79" s="7"/>
      <c r="CU79" s="7"/>
      <c r="CV79" s="7"/>
      <c r="CW79" s="17">
        <v>108800.21</v>
      </c>
      <c r="CX79" s="18">
        <f t="shared" si="35"/>
        <v>1395.7300000000105</v>
      </c>
      <c r="CY79" s="19">
        <f t="shared" si="36"/>
        <v>601.1880693548242</v>
      </c>
      <c r="CZ79" s="15">
        <f t="shared" si="37"/>
        <v>1996.9180693548346</v>
      </c>
      <c r="DA79" s="11">
        <f t="shared" si="38"/>
        <v>5631.308955580634</v>
      </c>
      <c r="DB79" s="46">
        <f t="shared" si="39"/>
        <v>5569.978698320295</v>
      </c>
      <c r="DC79" s="22">
        <v>1</v>
      </c>
      <c r="DD79" s="7" t="s">
        <v>39</v>
      </c>
      <c r="DE79" s="1">
        <v>26</v>
      </c>
      <c r="DF79" s="2" t="s">
        <v>72</v>
      </c>
      <c r="DG79" s="2" t="s">
        <v>15</v>
      </c>
      <c r="DH79" s="30">
        <v>43646</v>
      </c>
      <c r="DI79" s="37">
        <v>6000</v>
      </c>
      <c r="DJ79" s="31">
        <v>109358.08</v>
      </c>
      <c r="DK79" s="58"/>
      <c r="DL79" s="58"/>
      <c r="DM79" s="58"/>
      <c r="DN79" s="35"/>
      <c r="DO79" s="57">
        <f t="shared" si="15"/>
        <v>109358.08</v>
      </c>
      <c r="DP79" s="18">
        <f t="shared" si="40"/>
        <v>557.8699999999953</v>
      </c>
      <c r="DQ79" s="19">
        <f t="shared" si="41"/>
        <v>-10.30409519658697</v>
      </c>
      <c r="DR79" s="15">
        <f t="shared" si="42"/>
        <v>547.5659048034083</v>
      </c>
      <c r="DS79" s="11">
        <f t="shared" si="43"/>
        <v>1544.1358515456113</v>
      </c>
      <c r="DT79" s="46">
        <f t="shared" si="44"/>
        <v>1114.1145498659062</v>
      </c>
      <c r="DU79" s="22">
        <v>1</v>
      </c>
      <c r="DV79" s="7" t="s">
        <v>39</v>
      </c>
      <c r="DW79" s="12">
        <v>26</v>
      </c>
      <c r="DX79" s="7" t="s">
        <v>72</v>
      </c>
      <c r="DY79" s="7" t="s">
        <v>15</v>
      </c>
      <c r="DZ79" s="8">
        <v>43677</v>
      </c>
      <c r="EA79" s="16"/>
      <c r="EB79" s="7">
        <v>109820.65000000001</v>
      </c>
      <c r="EC79" s="7"/>
      <c r="ED79" s="7"/>
      <c r="EE79" s="7"/>
      <c r="EF79" s="7"/>
      <c r="EG79" s="17">
        <v>109820.65000000001</v>
      </c>
      <c r="EH79" s="18">
        <f t="shared" si="45"/>
        <v>462.570000000007</v>
      </c>
      <c r="EI79" s="19">
        <f t="shared" si="46"/>
        <v>79.90273387581689</v>
      </c>
      <c r="EJ79" s="15">
        <f t="shared" si="47"/>
        <v>542.4727338758239</v>
      </c>
      <c r="EK79" s="11">
        <f t="shared" si="48"/>
        <v>1573.1709282398892</v>
      </c>
      <c r="EL79" s="125">
        <f t="shared" si="49"/>
        <v>2687.2854781057954</v>
      </c>
      <c r="EM79" s="22">
        <v>1</v>
      </c>
      <c r="EN79" s="7" t="s">
        <v>39</v>
      </c>
      <c r="EO79" s="12">
        <v>26</v>
      </c>
      <c r="EP79" s="7" t="s">
        <v>72</v>
      </c>
      <c r="EQ79" s="7" t="s">
        <v>15</v>
      </c>
      <c r="ER79" s="8">
        <v>43708</v>
      </c>
      <c r="ES79" s="16">
        <v>4000</v>
      </c>
      <c r="ET79" s="7">
        <v>110378.65000000001</v>
      </c>
      <c r="EU79" s="7"/>
      <c r="EV79" s="7"/>
      <c r="EW79" s="7"/>
      <c r="EX79" s="7"/>
      <c r="EY79" s="17">
        <f t="shared" si="16"/>
        <v>110378.65000000001</v>
      </c>
      <c r="EZ79" s="18">
        <f t="shared" si="50"/>
        <v>558</v>
      </c>
      <c r="FA79" s="19">
        <f t="shared" si="51"/>
        <v>63.559293714267085</v>
      </c>
      <c r="FB79" s="15">
        <f t="shared" si="52"/>
        <v>621.5592937142671</v>
      </c>
      <c r="FC79" s="11">
        <f t="shared" si="53"/>
        <v>1802.5219517713747</v>
      </c>
      <c r="FD79" s="21">
        <f t="shared" si="54"/>
        <v>489.8074298771701</v>
      </c>
      <c r="FE79" s="22">
        <v>1</v>
      </c>
      <c r="FF79" s="7" t="s">
        <v>39</v>
      </c>
      <c r="FG79" s="7">
        <v>26</v>
      </c>
      <c r="FH79" s="7" t="s">
        <v>72</v>
      </c>
      <c r="FI79" s="7" t="s">
        <v>15</v>
      </c>
      <c r="FJ79" s="8">
        <v>43735</v>
      </c>
      <c r="FK79" s="16"/>
      <c r="FL79" s="7">
        <v>111322.95</v>
      </c>
      <c r="FM79" s="7"/>
      <c r="FN79" s="7"/>
      <c r="FO79" s="7"/>
      <c r="FP79" s="7"/>
      <c r="FQ79" s="17">
        <v>111322.95</v>
      </c>
      <c r="FR79" s="18">
        <f t="shared" si="55"/>
        <v>944.2999999999884</v>
      </c>
      <c r="FS79" s="19">
        <f t="shared" si="56"/>
        <v>7.065720020613696</v>
      </c>
      <c r="FT79" s="15">
        <f t="shared" si="57"/>
        <v>951.3657200206021</v>
      </c>
      <c r="FU79" s="11">
        <f t="shared" si="58"/>
        <v>2758.960588059746</v>
      </c>
      <c r="FV79" s="128">
        <f t="shared" si="17"/>
        <v>-209.50959420348545</v>
      </c>
      <c r="FW79" s="13">
        <f t="shared" si="59"/>
        <v>2549.4509938562605</v>
      </c>
      <c r="FX79" s="21">
        <f t="shared" si="60"/>
        <v>3039.2584237334304</v>
      </c>
      <c r="FY79" s="22">
        <v>1</v>
      </c>
      <c r="FZ79" s="7" t="s">
        <v>39</v>
      </c>
      <c r="GA79" s="134">
        <v>26</v>
      </c>
      <c r="GB79" s="135" t="s">
        <v>72</v>
      </c>
      <c r="GC79" s="135" t="s">
        <v>15</v>
      </c>
      <c r="GD79" s="136">
        <v>43771</v>
      </c>
      <c r="GE79" s="138">
        <v>3500</v>
      </c>
      <c r="GF79" s="139">
        <v>114241.07</v>
      </c>
      <c r="GG79" s="3"/>
      <c r="GH79" s="3"/>
      <c r="GI79" s="3"/>
      <c r="GJ79" s="3"/>
      <c r="GK79" s="32">
        <f t="shared" si="18"/>
        <v>114241.07</v>
      </c>
      <c r="GL79" s="18">
        <f t="shared" si="61"/>
        <v>2918.12000000001</v>
      </c>
      <c r="GM79" s="19">
        <f t="shared" si="62"/>
        <v>-337.63496304375366</v>
      </c>
      <c r="GN79" s="15">
        <f t="shared" si="63"/>
        <v>2580.4850369562564</v>
      </c>
      <c r="GO79" s="11">
        <f t="shared" si="64"/>
        <v>7483.406607173143</v>
      </c>
      <c r="GP79" s="7">
        <f t="shared" si="19"/>
        <v>-1105.0005568966253</v>
      </c>
      <c r="GQ79" s="13">
        <f t="shared" si="65"/>
        <v>6378.406050276518</v>
      </c>
      <c r="GR79" s="46">
        <f t="shared" si="66"/>
        <v>5917.664474009948</v>
      </c>
      <c r="GS79" s="22">
        <v>1</v>
      </c>
      <c r="GT79" s="7" t="s">
        <v>39</v>
      </c>
      <c r="GU79" s="148">
        <v>26</v>
      </c>
      <c r="GV79" s="148" t="s">
        <v>72</v>
      </c>
      <c r="GW79" s="148" t="s">
        <v>15</v>
      </c>
      <c r="GX79" s="155">
        <v>43796</v>
      </c>
      <c r="GY79" s="156">
        <v>6000</v>
      </c>
      <c r="GZ79" s="148">
        <v>117425.79000000001</v>
      </c>
      <c r="HA79" s="157"/>
      <c r="HB79" s="157"/>
      <c r="HC79" s="157"/>
      <c r="HD79" s="157"/>
      <c r="HE79" s="158">
        <f t="shared" si="20"/>
        <v>117425.79000000001</v>
      </c>
      <c r="HF79" s="18">
        <f t="shared" si="67"/>
        <v>3184.720000000001</v>
      </c>
      <c r="HG79" s="19">
        <f t="shared" si="68"/>
        <v>780.576759562194</v>
      </c>
      <c r="HH79" s="15">
        <f t="shared" si="69"/>
        <v>3965.296759562195</v>
      </c>
      <c r="HI79" s="11">
        <f t="shared" si="70"/>
        <v>11499.360602730365</v>
      </c>
      <c r="HJ79" s="7">
        <f t="shared" si="71"/>
        <v>-1455.4257596066545</v>
      </c>
      <c r="HK79" s="13">
        <f t="shared" si="72"/>
        <v>10043.93484312371</v>
      </c>
      <c r="HL79" s="46">
        <f t="shared" si="73"/>
        <v>9961.59931713366</v>
      </c>
      <c r="HM79" s="22">
        <v>1</v>
      </c>
      <c r="HN79" s="7" t="s">
        <v>39</v>
      </c>
      <c r="HO79" s="12">
        <v>26</v>
      </c>
      <c r="HP79" s="7" t="s">
        <v>72</v>
      </c>
      <c r="HQ79" s="7" t="s">
        <v>15</v>
      </c>
      <c r="HR79" s="8">
        <v>43830</v>
      </c>
      <c r="HS79" s="171">
        <v>10000</v>
      </c>
      <c r="HT79" s="7">
        <v>122051.21</v>
      </c>
      <c r="HU79" s="7"/>
      <c r="HV79" s="7"/>
      <c r="HW79" s="7"/>
      <c r="HX79" s="7"/>
      <c r="HY79" s="17">
        <v>122051.21</v>
      </c>
      <c r="HZ79" s="18">
        <f t="shared" si="74"/>
        <v>4625.419999999998</v>
      </c>
      <c r="IA79" s="19">
        <f t="shared" si="75"/>
        <v>555.0504000000002</v>
      </c>
      <c r="IB79" s="20">
        <f t="shared" si="76"/>
        <v>5180.470399999998</v>
      </c>
      <c r="IC79" s="11">
        <f t="shared" si="77"/>
        <v>15023.364159999996</v>
      </c>
      <c r="ID79" s="7">
        <f t="shared" si="78"/>
        <v>-1528.207477346481</v>
      </c>
      <c r="IE79" s="13">
        <f t="shared" si="79"/>
        <v>13495.156682653515</v>
      </c>
      <c r="IF79" s="46">
        <f t="shared" si="80"/>
        <v>13456.755999787174</v>
      </c>
      <c r="IG79" s="22">
        <v>1</v>
      </c>
      <c r="IH79" s="7" t="s">
        <v>39</v>
      </c>
    </row>
    <row r="80" spans="1:242" ht="19.5" customHeight="1">
      <c r="A80" s="10">
        <v>27</v>
      </c>
      <c r="B80" s="6" t="s">
        <v>73</v>
      </c>
      <c r="C80" s="6" t="s">
        <v>19</v>
      </c>
      <c r="D80" s="5">
        <v>43100</v>
      </c>
      <c r="E80" s="6">
        <v>2000</v>
      </c>
      <c r="F80" s="6">
        <v>3682.16</v>
      </c>
      <c r="H80" s="6">
        <v>3682.16</v>
      </c>
      <c r="J80" s="6">
        <v>68.80999999999995</v>
      </c>
      <c r="K80" s="6">
        <v>-9.876441993219899</v>
      </c>
      <c r="L80" s="6">
        <v>58.933558006780046</v>
      </c>
      <c r="M80" s="6">
        <v>156.17392871796713</v>
      </c>
      <c r="N80" s="6">
        <v>-907.6068623031742</v>
      </c>
      <c r="O80" s="10">
        <v>1</v>
      </c>
      <c r="P80" s="6" t="s">
        <v>39</v>
      </c>
      <c r="Q80" s="1">
        <v>27</v>
      </c>
      <c r="R80" s="56" t="s">
        <v>73</v>
      </c>
      <c r="S80" s="54">
        <v>5206.96</v>
      </c>
      <c r="T80" s="55">
        <v>1709.9695899385792</v>
      </c>
      <c r="U80" s="2" t="s">
        <v>19</v>
      </c>
      <c r="V80" s="30">
        <v>43496</v>
      </c>
      <c r="W80" s="37">
        <v>2000</v>
      </c>
      <c r="X80" s="31">
        <v>5238.63</v>
      </c>
      <c r="Y80" s="31"/>
      <c r="Z80" s="31"/>
      <c r="AA80" s="31"/>
      <c r="AB80" s="31"/>
      <c r="AC80" s="57">
        <f t="shared" si="6"/>
        <v>5238.63</v>
      </c>
      <c r="AD80" s="34">
        <f t="shared" si="7"/>
        <v>31.670000000000073</v>
      </c>
      <c r="AE80" s="38">
        <f t="shared" si="8"/>
        <v>4.265718649917034</v>
      </c>
      <c r="AF80" s="39">
        <f t="shared" si="9"/>
        <v>35.935718649917106</v>
      </c>
      <c r="AG80" s="4">
        <f t="shared" si="21"/>
        <v>99.54194066027038</v>
      </c>
      <c r="AH80" s="40">
        <f t="shared" si="10"/>
        <v>-190.48846940115038</v>
      </c>
      <c r="AI80" s="41">
        <v>1</v>
      </c>
      <c r="AJ80" s="36" t="s">
        <v>39</v>
      </c>
      <c r="AK80" s="1">
        <v>27</v>
      </c>
      <c r="AL80" s="2" t="s">
        <v>73</v>
      </c>
      <c r="AM80" s="2" t="s">
        <v>19</v>
      </c>
      <c r="AN80" s="75">
        <v>43518</v>
      </c>
      <c r="AO80" s="73"/>
      <c r="AP80" s="76">
        <v>5243.7</v>
      </c>
      <c r="AQ80" s="76">
        <v>11.69</v>
      </c>
      <c r="AR80" s="74"/>
      <c r="AS80" s="74"/>
      <c r="AT80" s="74"/>
      <c r="AU80" s="79">
        <f t="shared" si="11"/>
        <v>5255.389999999999</v>
      </c>
      <c r="AV80" s="81">
        <f t="shared" si="12"/>
        <v>16.75999999999931</v>
      </c>
      <c r="AW80" s="80">
        <f>($V$39+$U$9+31.76)/$U$39*AV80</f>
        <v>8.705271649009417</v>
      </c>
      <c r="AX80" s="85">
        <f t="shared" si="22"/>
        <v>25.465271649008727</v>
      </c>
      <c r="AY80" s="91">
        <f t="shared" si="23"/>
        <v>71.75902535791042</v>
      </c>
      <c r="AZ80" s="88">
        <f t="shared" si="24"/>
        <v>-118.72944404323997</v>
      </c>
      <c r="BA80" s="22" t="s">
        <v>40</v>
      </c>
      <c r="BB80" s="7" t="s">
        <v>41</v>
      </c>
      <c r="BC80" s="12">
        <v>27</v>
      </c>
      <c r="BD80" s="20" t="s">
        <v>129</v>
      </c>
      <c r="BE80" s="7" t="s">
        <v>125</v>
      </c>
      <c r="BF80" s="8">
        <v>43555</v>
      </c>
      <c r="BG80" s="16"/>
      <c r="BH80" s="7">
        <v>3216.1800000000003</v>
      </c>
      <c r="BI80" s="19">
        <f>11.69+32.26</f>
        <v>43.949999999999996</v>
      </c>
      <c r="BJ80" s="20">
        <f>5243.7-3202.59</f>
        <v>2041.1099999999997</v>
      </c>
      <c r="BK80" s="7"/>
      <c r="BL80" s="7"/>
      <c r="BM80" s="17">
        <f t="shared" si="14"/>
        <v>5301.24</v>
      </c>
      <c r="BN80" s="18">
        <f t="shared" si="25"/>
        <v>45.850000000000364</v>
      </c>
      <c r="BO80" s="19">
        <f t="shared" si="26"/>
        <v>-13.590024181558046</v>
      </c>
      <c r="BP80" s="15">
        <f t="shared" si="27"/>
        <v>32.259975818442314</v>
      </c>
      <c r="BQ80" s="11">
        <f t="shared" si="28"/>
        <v>90.97313180800732</v>
      </c>
      <c r="BR80" s="46">
        <f t="shared" si="29"/>
        <v>-27.75631223523264</v>
      </c>
      <c r="BS80" s="22" t="s">
        <v>132</v>
      </c>
      <c r="BT80" s="7" t="s">
        <v>133</v>
      </c>
      <c r="BU80" s="12">
        <v>27</v>
      </c>
      <c r="BV80" s="7" t="s">
        <v>135</v>
      </c>
      <c r="BW80" s="7" t="s">
        <v>125</v>
      </c>
      <c r="BX80" s="8">
        <v>43585</v>
      </c>
      <c r="BY80" s="16"/>
      <c r="BZ80" s="7">
        <v>3276.96</v>
      </c>
      <c r="CA80" s="7">
        <v>43.949999999999996</v>
      </c>
      <c r="CB80" s="7">
        <v>2041.1099999999997</v>
      </c>
      <c r="CC80" s="7"/>
      <c r="CD80" s="7"/>
      <c r="CE80" s="17">
        <v>5362.0199999999995</v>
      </c>
      <c r="CF80" s="18">
        <f t="shared" si="30"/>
        <v>60.779999999999745</v>
      </c>
      <c r="CG80" s="19">
        <f t="shared" si="31"/>
        <v>3.26417586047785</v>
      </c>
      <c r="CH80" s="20">
        <f t="shared" si="32"/>
        <v>64.0441758604776</v>
      </c>
      <c r="CI80" s="11">
        <f t="shared" si="33"/>
        <v>180.6045759265468</v>
      </c>
      <c r="CJ80" s="46">
        <f t="shared" si="34"/>
        <v>152.84826369131417</v>
      </c>
      <c r="CK80" s="22">
        <v>2</v>
      </c>
      <c r="CL80" s="7" t="s">
        <v>39</v>
      </c>
      <c r="CM80" s="12">
        <v>27</v>
      </c>
      <c r="CN80" s="7" t="s">
        <v>135</v>
      </c>
      <c r="CO80" s="7" t="s">
        <v>125</v>
      </c>
      <c r="CP80" s="8">
        <v>43615</v>
      </c>
      <c r="CQ80" s="16"/>
      <c r="CR80" s="7">
        <v>3463.11</v>
      </c>
      <c r="CS80" s="7">
        <v>43.949999999999996</v>
      </c>
      <c r="CT80" s="7">
        <v>2041.1099999999997</v>
      </c>
      <c r="CU80" s="7"/>
      <c r="CV80" s="7"/>
      <c r="CW80" s="17">
        <v>5548.17</v>
      </c>
      <c r="CX80" s="18">
        <f t="shared" si="35"/>
        <v>186.15000000000055</v>
      </c>
      <c r="CY80" s="19">
        <f t="shared" si="36"/>
        <v>80.18109456012266</v>
      </c>
      <c r="CZ80" s="15">
        <f t="shared" si="37"/>
        <v>266.33109456012323</v>
      </c>
      <c r="DA80" s="11">
        <f t="shared" si="38"/>
        <v>751.0536866595475</v>
      </c>
      <c r="DB80" s="46">
        <f t="shared" si="39"/>
        <v>903.9019503508616</v>
      </c>
      <c r="DC80" s="22">
        <v>2</v>
      </c>
      <c r="DD80" s="7" t="s">
        <v>39</v>
      </c>
      <c r="DE80" s="1">
        <v>27</v>
      </c>
      <c r="DF80" s="2" t="s">
        <v>135</v>
      </c>
      <c r="DG80" s="2" t="s">
        <v>125</v>
      </c>
      <c r="DH80" s="30">
        <v>43646</v>
      </c>
      <c r="DI80" s="37">
        <v>2000</v>
      </c>
      <c r="DJ80" s="31">
        <v>3611.83</v>
      </c>
      <c r="DK80" s="58">
        <f>11.69+32.26</f>
        <v>43.949999999999996</v>
      </c>
      <c r="DL80" s="58">
        <f>5243.7-3202.59</f>
        <v>2041.1099999999997</v>
      </c>
      <c r="DM80" s="58"/>
      <c r="DN80" s="35"/>
      <c r="DO80" s="57">
        <f t="shared" si="15"/>
        <v>5696.889999999999</v>
      </c>
      <c r="DP80" s="18">
        <f t="shared" si="40"/>
        <v>148.71999999999935</v>
      </c>
      <c r="DQ80" s="19">
        <f t="shared" si="41"/>
        <v>-2.746921393221396</v>
      </c>
      <c r="DR80" s="15">
        <f t="shared" si="42"/>
        <v>145.97307860677796</v>
      </c>
      <c r="DS80" s="11">
        <f t="shared" si="43"/>
        <v>411.64408167111384</v>
      </c>
      <c r="DT80" s="46">
        <f t="shared" si="44"/>
        <v>-684.4539679780246</v>
      </c>
      <c r="DU80" s="22">
        <v>2</v>
      </c>
      <c r="DV80" s="7" t="s">
        <v>39</v>
      </c>
      <c r="DW80" s="12">
        <v>27</v>
      </c>
      <c r="DX80" s="7" t="s">
        <v>135</v>
      </c>
      <c r="DY80" s="7" t="s">
        <v>125</v>
      </c>
      <c r="DZ80" s="8">
        <v>43677</v>
      </c>
      <c r="EA80" s="16"/>
      <c r="EB80" s="7">
        <v>3796.9300000000003</v>
      </c>
      <c r="EC80" s="7">
        <v>43.949999999999996</v>
      </c>
      <c r="ED80" s="7">
        <v>2041.1099999999997</v>
      </c>
      <c r="EE80" s="7"/>
      <c r="EF80" s="7"/>
      <c r="EG80" s="17">
        <v>5881.99</v>
      </c>
      <c r="EH80" s="18">
        <f t="shared" si="45"/>
        <v>185.10000000000036</v>
      </c>
      <c r="EI80" s="19">
        <f t="shared" si="46"/>
        <v>31.973530580049534</v>
      </c>
      <c r="EJ80" s="15">
        <f t="shared" si="47"/>
        <v>217.0735305800499</v>
      </c>
      <c r="EK80" s="11">
        <f t="shared" si="48"/>
        <v>629.5132386821447</v>
      </c>
      <c r="EL80" s="125">
        <f t="shared" si="49"/>
        <v>-54.94072929587992</v>
      </c>
      <c r="EM80" s="22">
        <v>2</v>
      </c>
      <c r="EN80" s="7" t="s">
        <v>39</v>
      </c>
      <c r="EO80" s="12">
        <v>27</v>
      </c>
      <c r="EP80" s="7" t="s">
        <v>135</v>
      </c>
      <c r="EQ80" s="7" t="s">
        <v>125</v>
      </c>
      <c r="ER80" s="8">
        <v>43708</v>
      </c>
      <c r="ES80" s="16"/>
      <c r="ET80" s="7">
        <v>4035.12</v>
      </c>
      <c r="EU80" s="7">
        <f>11.69+32.26</f>
        <v>43.949999999999996</v>
      </c>
      <c r="EV80" s="7">
        <f>5243.7-3202.59</f>
        <v>2041.1099999999997</v>
      </c>
      <c r="EW80" s="7"/>
      <c r="EX80" s="7"/>
      <c r="EY80" s="17">
        <f t="shared" si="16"/>
        <v>6120.179999999999</v>
      </c>
      <c r="EZ80" s="18">
        <f t="shared" si="50"/>
        <v>238.1899999999996</v>
      </c>
      <c r="FA80" s="19">
        <f t="shared" si="51"/>
        <v>27.131161594625897</v>
      </c>
      <c r="FB80" s="15">
        <f t="shared" si="52"/>
        <v>265.3211615946255</v>
      </c>
      <c r="FC80" s="11">
        <f t="shared" si="53"/>
        <v>769.431368624414</v>
      </c>
      <c r="FD80" s="21">
        <f t="shared" si="54"/>
        <v>714.490639328534</v>
      </c>
      <c r="FE80" s="22">
        <v>2</v>
      </c>
      <c r="FF80" s="7" t="s">
        <v>39</v>
      </c>
      <c r="FG80" s="7">
        <v>27</v>
      </c>
      <c r="FH80" s="7" t="s">
        <v>135</v>
      </c>
      <c r="FI80" s="7" t="s">
        <v>125</v>
      </c>
      <c r="FJ80" s="8">
        <v>43735</v>
      </c>
      <c r="FK80" s="16"/>
      <c r="FL80" s="7">
        <v>4305.25</v>
      </c>
      <c r="FM80" s="7">
        <v>43.949999999999996</v>
      </c>
      <c r="FN80" s="7">
        <v>2041.1099999999997</v>
      </c>
      <c r="FO80" s="7"/>
      <c r="FP80" s="7"/>
      <c r="FQ80" s="17">
        <v>6390.3099999999995</v>
      </c>
      <c r="FR80" s="18">
        <f t="shared" si="55"/>
        <v>270.1300000000001</v>
      </c>
      <c r="FS80" s="19">
        <f t="shared" si="56"/>
        <v>2.02124637209404</v>
      </c>
      <c r="FT80" s="15">
        <f t="shared" si="57"/>
        <v>272.15124637209414</v>
      </c>
      <c r="FU80" s="11">
        <f t="shared" si="58"/>
        <v>789.238614479073</v>
      </c>
      <c r="FV80" s="128">
        <f t="shared" si="17"/>
        <v>-59.933100372962244</v>
      </c>
      <c r="FW80" s="13">
        <f t="shared" si="59"/>
        <v>729.3055141061108</v>
      </c>
      <c r="FX80" s="21">
        <f t="shared" si="60"/>
        <v>1443.7961534346448</v>
      </c>
      <c r="FY80" s="22">
        <v>2</v>
      </c>
      <c r="FZ80" s="7" t="s">
        <v>39</v>
      </c>
      <c r="GA80" s="134">
        <v>27</v>
      </c>
      <c r="GB80" s="135" t="s">
        <v>135</v>
      </c>
      <c r="GC80" s="135" t="s">
        <v>125</v>
      </c>
      <c r="GD80" s="136">
        <v>43771</v>
      </c>
      <c r="GE80" s="138">
        <v>2000</v>
      </c>
      <c r="GF80" s="139">
        <v>4492.66</v>
      </c>
      <c r="GG80" s="3">
        <f>11.69+32.26</f>
        <v>43.949999999999996</v>
      </c>
      <c r="GH80" s="3">
        <f>5243.7-3202.59</f>
        <v>2041.1099999999997</v>
      </c>
      <c r="GI80" s="3"/>
      <c r="GJ80" s="3"/>
      <c r="GK80" s="32">
        <f t="shared" si="18"/>
        <v>6577.719999999999</v>
      </c>
      <c r="GL80" s="18">
        <f t="shared" si="61"/>
        <v>187.40999999999985</v>
      </c>
      <c r="GM80" s="19">
        <f t="shared" si="62"/>
        <v>-21.683881548404315</v>
      </c>
      <c r="GN80" s="15">
        <f t="shared" si="63"/>
        <v>165.72611845159554</v>
      </c>
      <c r="GO80" s="11">
        <f t="shared" si="64"/>
        <v>480.6057435096271</v>
      </c>
      <c r="GP80" s="7">
        <f t="shared" si="19"/>
        <v>-70.96629143695108</v>
      </c>
      <c r="GQ80" s="13">
        <f t="shared" si="65"/>
        <v>409.639452072676</v>
      </c>
      <c r="GR80" s="46">
        <f t="shared" si="66"/>
        <v>-146.56439449267918</v>
      </c>
      <c r="GS80" s="22">
        <v>2</v>
      </c>
      <c r="GT80" s="7" t="s">
        <v>39</v>
      </c>
      <c r="GU80" s="148">
        <v>27</v>
      </c>
      <c r="GV80" s="148" t="s">
        <v>135</v>
      </c>
      <c r="GW80" s="148" t="s">
        <v>125</v>
      </c>
      <c r="GX80" s="155">
        <v>43799</v>
      </c>
      <c r="GY80" s="156"/>
      <c r="GZ80" s="148">
        <v>4520.33</v>
      </c>
      <c r="HA80" s="157">
        <f>11.69+32.26</f>
        <v>43.949999999999996</v>
      </c>
      <c r="HB80" s="157">
        <f>5243.7-3202.59</f>
        <v>2041.1099999999997</v>
      </c>
      <c r="HC80" s="157"/>
      <c r="HD80" s="157"/>
      <c r="HE80" s="158">
        <f t="shared" si="20"/>
        <v>6605.389999999999</v>
      </c>
      <c r="HF80" s="18">
        <f t="shared" si="67"/>
        <v>27.670000000000073</v>
      </c>
      <c r="HG80" s="19">
        <f t="shared" si="68"/>
        <v>6.781933399823519</v>
      </c>
      <c r="HH80" s="15">
        <f t="shared" si="69"/>
        <v>34.45193339982359</v>
      </c>
      <c r="HI80" s="11">
        <f t="shared" si="70"/>
        <v>99.9106068594884</v>
      </c>
      <c r="HJ80" s="7">
        <f t="shared" si="71"/>
        <v>-12.645265759098512</v>
      </c>
      <c r="HK80" s="13">
        <f t="shared" si="72"/>
        <v>87.26534110038989</v>
      </c>
      <c r="HL80" s="46">
        <f t="shared" si="73"/>
        <v>-59.299053392289295</v>
      </c>
      <c r="HM80" s="22">
        <v>2</v>
      </c>
      <c r="HN80" s="7" t="s">
        <v>39</v>
      </c>
      <c r="HO80" s="12">
        <v>27</v>
      </c>
      <c r="HP80" s="7" t="s">
        <v>135</v>
      </c>
      <c r="HQ80" s="7" t="s">
        <v>125</v>
      </c>
      <c r="HR80" s="8">
        <v>43830</v>
      </c>
      <c r="HS80" s="171"/>
      <c r="HT80" s="7">
        <v>4545.78</v>
      </c>
      <c r="HU80" s="7">
        <v>43.949999999999996</v>
      </c>
      <c r="HV80" s="7">
        <v>2041.1099999999997</v>
      </c>
      <c r="HW80" s="7"/>
      <c r="HX80" s="7"/>
      <c r="HY80" s="17">
        <v>6630.839999999999</v>
      </c>
      <c r="HZ80" s="18">
        <f t="shared" si="74"/>
        <v>25.449999999999818</v>
      </c>
      <c r="IA80" s="19">
        <f t="shared" si="75"/>
        <v>3.0539999999999803</v>
      </c>
      <c r="IB80" s="20">
        <f t="shared" si="76"/>
        <v>28.5039999999998</v>
      </c>
      <c r="IC80" s="11">
        <f t="shared" si="77"/>
        <v>82.66159999999941</v>
      </c>
      <c r="ID80" s="7">
        <f t="shared" si="78"/>
        <v>-8.408507832470928</v>
      </c>
      <c r="IE80" s="13">
        <f t="shared" si="79"/>
        <v>74.25309216752848</v>
      </c>
      <c r="IF80" s="46">
        <f t="shared" si="80"/>
        <v>14.954038775239184</v>
      </c>
      <c r="IG80" s="22">
        <v>2</v>
      </c>
      <c r="IH80" s="7" t="s">
        <v>39</v>
      </c>
    </row>
    <row r="81" spans="1:242" ht="19.5" customHeight="1">
      <c r="A81" s="10">
        <v>28</v>
      </c>
      <c r="B81" s="6" t="s">
        <v>74</v>
      </c>
      <c r="C81" s="6" t="s">
        <v>38</v>
      </c>
      <c r="D81" s="5">
        <v>43100</v>
      </c>
      <c r="F81" s="6">
        <v>715.97</v>
      </c>
      <c r="H81" s="6">
        <v>715.97</v>
      </c>
      <c r="J81" s="6">
        <v>0</v>
      </c>
      <c r="K81" s="6">
        <v>0</v>
      </c>
      <c r="L81" s="6">
        <v>0</v>
      </c>
      <c r="M81" s="6">
        <v>0</v>
      </c>
      <c r="N81" s="6">
        <v>-134.90903037902396</v>
      </c>
      <c r="O81" s="10">
        <v>1</v>
      </c>
      <c r="P81" s="6" t="s">
        <v>39</v>
      </c>
      <c r="Q81" s="1">
        <v>28</v>
      </c>
      <c r="R81" s="56" t="s">
        <v>74</v>
      </c>
      <c r="S81" s="54">
        <v>1001.63</v>
      </c>
      <c r="T81" s="55">
        <v>219.5677510603573</v>
      </c>
      <c r="U81" s="2" t="s">
        <v>103</v>
      </c>
      <c r="V81" s="30">
        <v>43496</v>
      </c>
      <c r="W81" s="37"/>
      <c r="X81" s="31">
        <v>0.31</v>
      </c>
      <c r="Y81" s="31"/>
      <c r="Z81" s="49"/>
      <c r="AA81" s="49">
        <v>1001.32</v>
      </c>
      <c r="AB81" s="58">
        <f>86.73</f>
        <v>86.73</v>
      </c>
      <c r="AC81" s="57">
        <f t="shared" si="6"/>
        <v>1001.63</v>
      </c>
      <c r="AD81" s="34">
        <f t="shared" si="7"/>
        <v>0</v>
      </c>
      <c r="AE81" s="38">
        <f t="shared" si="8"/>
        <v>0</v>
      </c>
      <c r="AF81" s="39">
        <f t="shared" si="9"/>
        <v>0</v>
      </c>
      <c r="AG81" s="4">
        <f t="shared" si="21"/>
        <v>0</v>
      </c>
      <c r="AH81" s="40">
        <f t="shared" si="10"/>
        <v>219.5677510603573</v>
      </c>
      <c r="AI81" s="41">
        <v>2</v>
      </c>
      <c r="AJ81" s="36" t="s">
        <v>39</v>
      </c>
      <c r="AK81" s="1">
        <v>28</v>
      </c>
      <c r="AL81" s="2" t="s">
        <v>74</v>
      </c>
      <c r="AM81" s="2" t="s">
        <v>103</v>
      </c>
      <c r="AN81" s="72">
        <v>43521</v>
      </c>
      <c r="AO81" s="73"/>
      <c r="AP81" s="74">
        <v>0.31</v>
      </c>
      <c r="AQ81" s="74"/>
      <c r="AR81" s="77"/>
      <c r="AS81" s="77">
        <v>1001.32</v>
      </c>
      <c r="AT81" s="78">
        <f>86.73</f>
        <v>86.73</v>
      </c>
      <c r="AU81" s="79">
        <f t="shared" si="11"/>
        <v>1001.63</v>
      </c>
      <c r="AV81" s="81">
        <f t="shared" si="12"/>
        <v>0</v>
      </c>
      <c r="AW81" s="80">
        <f>($V$39+$U$9+31.76)/$U$39*AV81</f>
        <v>0</v>
      </c>
      <c r="AX81" s="85">
        <f t="shared" si="22"/>
        <v>0</v>
      </c>
      <c r="AY81" s="91">
        <f t="shared" si="23"/>
        <v>0</v>
      </c>
      <c r="AZ81" s="88">
        <f t="shared" si="24"/>
        <v>219.5677510603573</v>
      </c>
      <c r="BA81" s="22">
        <v>2</v>
      </c>
      <c r="BB81" s="7" t="s">
        <v>39</v>
      </c>
      <c r="BC81" s="12">
        <v>28</v>
      </c>
      <c r="BD81" s="7" t="s">
        <v>74</v>
      </c>
      <c r="BE81" s="7" t="s">
        <v>103</v>
      </c>
      <c r="BF81" s="8">
        <v>43555</v>
      </c>
      <c r="BG81" s="16"/>
      <c r="BH81" s="7">
        <v>0.31</v>
      </c>
      <c r="BI81" s="7"/>
      <c r="BJ81" s="7"/>
      <c r="BK81" s="7">
        <v>1001.32</v>
      </c>
      <c r="BL81" s="7">
        <f>86.73</f>
        <v>86.73</v>
      </c>
      <c r="BM81" s="17">
        <f t="shared" si="14"/>
        <v>1001.63</v>
      </c>
      <c r="BN81" s="18">
        <f t="shared" si="25"/>
        <v>0</v>
      </c>
      <c r="BO81" s="19">
        <f t="shared" si="26"/>
        <v>0</v>
      </c>
      <c r="BP81" s="15">
        <f t="shared" si="27"/>
        <v>0</v>
      </c>
      <c r="BQ81" s="11">
        <f t="shared" si="28"/>
        <v>0</v>
      </c>
      <c r="BR81" s="46">
        <f t="shared" si="29"/>
        <v>219.5677510603573</v>
      </c>
      <c r="BS81" s="22">
        <v>2</v>
      </c>
      <c r="BT81" s="7" t="s">
        <v>39</v>
      </c>
      <c r="BU81" s="12">
        <v>28</v>
      </c>
      <c r="BV81" s="7" t="s">
        <v>74</v>
      </c>
      <c r="BW81" s="7" t="s">
        <v>103</v>
      </c>
      <c r="BX81" s="8">
        <v>43585</v>
      </c>
      <c r="BY81" s="16"/>
      <c r="BZ81" s="7">
        <v>0.41000000000000003</v>
      </c>
      <c r="CA81" s="7"/>
      <c r="CB81" s="7"/>
      <c r="CC81" s="7">
        <v>1001.32</v>
      </c>
      <c r="CD81" s="7">
        <v>86.73</v>
      </c>
      <c r="CE81" s="17">
        <v>1001.73</v>
      </c>
      <c r="CF81" s="18">
        <f t="shared" si="30"/>
        <v>0.10000000000002274</v>
      </c>
      <c r="CG81" s="19">
        <f t="shared" si="31"/>
        <v>0.00537047690108359</v>
      </c>
      <c r="CH81" s="20">
        <f t="shared" si="32"/>
        <v>0.10537047690110633</v>
      </c>
      <c r="CI81" s="11">
        <f t="shared" si="33"/>
        <v>0.29714474486111986</v>
      </c>
      <c r="CJ81" s="46">
        <f t="shared" si="34"/>
        <v>219.86489580521842</v>
      </c>
      <c r="CK81" s="22">
        <v>2</v>
      </c>
      <c r="CL81" s="7" t="s">
        <v>39</v>
      </c>
      <c r="CM81" s="12">
        <v>28</v>
      </c>
      <c r="CN81" s="7" t="s">
        <v>74</v>
      </c>
      <c r="CO81" s="7" t="s">
        <v>103</v>
      </c>
      <c r="CP81" s="8">
        <v>43615</v>
      </c>
      <c r="CQ81" s="16"/>
      <c r="CR81" s="7">
        <v>42.76</v>
      </c>
      <c r="CS81" s="7"/>
      <c r="CT81" s="7"/>
      <c r="CU81" s="7">
        <v>1001.32</v>
      </c>
      <c r="CV81" s="7">
        <v>86.73</v>
      </c>
      <c r="CW81" s="17">
        <v>1044.0800000000002</v>
      </c>
      <c r="CX81" s="18">
        <f t="shared" si="35"/>
        <v>42.350000000000136</v>
      </c>
      <c r="CY81" s="19">
        <f t="shared" si="36"/>
        <v>18.241575904492052</v>
      </c>
      <c r="CZ81" s="15">
        <f t="shared" si="37"/>
        <v>60.59157590449219</v>
      </c>
      <c r="DA81" s="11">
        <f t="shared" si="38"/>
        <v>170.86824405066795</v>
      </c>
      <c r="DB81" s="46">
        <f t="shared" si="39"/>
        <v>390.7331398558864</v>
      </c>
      <c r="DC81" s="22">
        <v>2</v>
      </c>
      <c r="DD81" s="7" t="s">
        <v>39</v>
      </c>
      <c r="DE81" s="1">
        <v>28</v>
      </c>
      <c r="DF81" s="2" t="s">
        <v>74</v>
      </c>
      <c r="DG81" s="2" t="s">
        <v>103</v>
      </c>
      <c r="DH81" s="30">
        <v>43646</v>
      </c>
      <c r="DI81" s="37">
        <v>500</v>
      </c>
      <c r="DJ81" s="31">
        <v>112.74000000000001</v>
      </c>
      <c r="DK81" s="58"/>
      <c r="DL81" s="58"/>
      <c r="DM81" s="58">
        <v>1001.32</v>
      </c>
      <c r="DN81" s="35">
        <f>86.73</f>
        <v>86.73</v>
      </c>
      <c r="DO81" s="57">
        <f t="shared" si="15"/>
        <v>1114.06</v>
      </c>
      <c r="DP81" s="18">
        <f t="shared" si="40"/>
        <v>69.97999999999979</v>
      </c>
      <c r="DQ81" s="19">
        <f t="shared" si="41"/>
        <v>-1.29256024137731</v>
      </c>
      <c r="DR81" s="15">
        <f t="shared" si="42"/>
        <v>68.68743975862247</v>
      </c>
      <c r="DS81" s="11">
        <f t="shared" si="43"/>
        <v>193.69858011931538</v>
      </c>
      <c r="DT81" s="46">
        <f t="shared" si="44"/>
        <v>84.43171997520179</v>
      </c>
      <c r="DU81" s="22">
        <v>2</v>
      </c>
      <c r="DV81" s="7" t="s">
        <v>39</v>
      </c>
      <c r="DW81" s="12">
        <v>28</v>
      </c>
      <c r="DX81" s="7" t="s">
        <v>74</v>
      </c>
      <c r="DY81" s="7" t="s">
        <v>103</v>
      </c>
      <c r="DZ81" s="8">
        <v>43677</v>
      </c>
      <c r="EA81" s="16">
        <v>600</v>
      </c>
      <c r="EB81" s="7">
        <v>189.26</v>
      </c>
      <c r="EC81" s="7"/>
      <c r="ED81" s="7"/>
      <c r="EE81" s="7">
        <v>1001.32</v>
      </c>
      <c r="EF81" s="7">
        <v>86.73</v>
      </c>
      <c r="EG81" s="17">
        <v>1190.58</v>
      </c>
      <c r="EH81" s="18">
        <f t="shared" si="45"/>
        <v>76.51999999999998</v>
      </c>
      <c r="EI81" s="19">
        <f t="shared" si="46"/>
        <v>13.21779881137431</v>
      </c>
      <c r="EJ81" s="15">
        <f t="shared" si="47"/>
        <v>89.73779881137429</v>
      </c>
      <c r="EK81" s="11">
        <f t="shared" si="48"/>
        <v>260.2396165529854</v>
      </c>
      <c r="EL81" s="125">
        <f t="shared" si="49"/>
        <v>-255.32866347181283</v>
      </c>
      <c r="EM81" s="22">
        <v>2</v>
      </c>
      <c r="EN81" s="7" t="s">
        <v>39</v>
      </c>
      <c r="EO81" s="12">
        <v>28</v>
      </c>
      <c r="EP81" s="7" t="s">
        <v>74</v>
      </c>
      <c r="EQ81" s="7" t="s">
        <v>103</v>
      </c>
      <c r="ER81" s="8">
        <v>43708</v>
      </c>
      <c r="ES81" s="16"/>
      <c r="ET81" s="7">
        <v>255.47</v>
      </c>
      <c r="EU81" s="7"/>
      <c r="EV81" s="7"/>
      <c r="EW81" s="7">
        <v>1001.32</v>
      </c>
      <c r="EX81" s="7">
        <f>86.73</f>
        <v>86.73</v>
      </c>
      <c r="EY81" s="17">
        <f t="shared" si="16"/>
        <v>1256.79</v>
      </c>
      <c r="EZ81" s="18">
        <f t="shared" si="50"/>
        <v>66.21000000000004</v>
      </c>
      <c r="FA81" s="19">
        <f t="shared" si="51"/>
        <v>7.541686087493954</v>
      </c>
      <c r="FB81" s="15">
        <f t="shared" si="52"/>
        <v>73.751686087494</v>
      </c>
      <c r="FC81" s="11">
        <f t="shared" si="53"/>
        <v>213.87988965373256</v>
      </c>
      <c r="FD81" s="21">
        <f t="shared" si="54"/>
        <v>-41.44877381808027</v>
      </c>
      <c r="FE81" s="22">
        <v>2</v>
      </c>
      <c r="FF81" s="7" t="s">
        <v>39</v>
      </c>
      <c r="FG81" s="7">
        <v>28</v>
      </c>
      <c r="FH81" s="7" t="s">
        <v>74</v>
      </c>
      <c r="FI81" s="7" t="s">
        <v>103</v>
      </c>
      <c r="FJ81" s="8">
        <v>43735</v>
      </c>
      <c r="FK81" s="16">
        <v>200</v>
      </c>
      <c r="FL81" s="7">
        <v>353.97</v>
      </c>
      <c r="FM81" s="7"/>
      <c r="FN81" s="7"/>
      <c r="FO81" s="7">
        <v>1001.32</v>
      </c>
      <c r="FP81" s="7">
        <v>86.73</v>
      </c>
      <c r="FQ81" s="17">
        <v>1355.29</v>
      </c>
      <c r="FR81" s="18">
        <f t="shared" si="55"/>
        <v>98.5</v>
      </c>
      <c r="FS81" s="19">
        <f t="shared" si="56"/>
        <v>0.7370257566773882</v>
      </c>
      <c r="FT81" s="15">
        <f t="shared" si="57"/>
        <v>99.23702575667738</v>
      </c>
      <c r="FU81" s="11">
        <f t="shared" si="58"/>
        <v>287.7873746943644</v>
      </c>
      <c r="FV81" s="128">
        <f t="shared" si="17"/>
        <v>-21.85396063649642</v>
      </c>
      <c r="FW81" s="13">
        <f t="shared" si="59"/>
        <v>265.933414057868</v>
      </c>
      <c r="FX81" s="21">
        <f t="shared" si="60"/>
        <v>24.484640239787723</v>
      </c>
      <c r="FY81" s="22">
        <v>2</v>
      </c>
      <c r="FZ81" s="7" t="s">
        <v>39</v>
      </c>
      <c r="GA81" s="134">
        <v>28</v>
      </c>
      <c r="GB81" s="135" t="s">
        <v>74</v>
      </c>
      <c r="GC81" s="135" t="s">
        <v>103</v>
      </c>
      <c r="GD81" s="136">
        <v>43771</v>
      </c>
      <c r="GE81" s="138"/>
      <c r="GF81" s="139">
        <v>359.11</v>
      </c>
      <c r="GG81" s="3"/>
      <c r="GH81" s="3"/>
      <c r="GI81" s="3">
        <v>1001.32</v>
      </c>
      <c r="GJ81" s="3">
        <f>86.73</f>
        <v>86.73</v>
      </c>
      <c r="GK81" s="32">
        <f t="shared" si="18"/>
        <v>1360.43</v>
      </c>
      <c r="GL81" s="18">
        <f t="shared" si="61"/>
        <v>5.1400000000001</v>
      </c>
      <c r="GM81" s="19">
        <f t="shared" si="62"/>
        <v>-0.5947129350557625</v>
      </c>
      <c r="GN81" s="15">
        <f t="shared" si="63"/>
        <v>4.545287064944338</v>
      </c>
      <c r="GO81" s="11">
        <f t="shared" si="64"/>
        <v>13.18133248833858</v>
      </c>
      <c r="GP81" s="7">
        <f t="shared" si="19"/>
        <v>-1.9463568538815215</v>
      </c>
      <c r="GQ81" s="13">
        <f t="shared" si="65"/>
        <v>11.234975634457058</v>
      </c>
      <c r="GR81" s="46">
        <f t="shared" si="66"/>
        <v>35.71961587424478</v>
      </c>
      <c r="GS81" s="22">
        <v>2</v>
      </c>
      <c r="GT81" s="7" t="s">
        <v>39</v>
      </c>
      <c r="GU81" s="148">
        <v>28</v>
      </c>
      <c r="GV81" s="148" t="s">
        <v>74</v>
      </c>
      <c r="GW81" s="148" t="s">
        <v>103</v>
      </c>
      <c r="GX81" s="155">
        <v>43795</v>
      </c>
      <c r="GY81" s="156"/>
      <c r="GZ81" s="148">
        <v>359.11</v>
      </c>
      <c r="HA81" s="157"/>
      <c r="HB81" s="157"/>
      <c r="HC81" s="157">
        <v>1001.32</v>
      </c>
      <c r="HD81" s="157">
        <f>86.73</f>
        <v>86.73</v>
      </c>
      <c r="HE81" s="158">
        <f t="shared" si="20"/>
        <v>1360.43</v>
      </c>
      <c r="HF81" s="18">
        <f t="shared" si="67"/>
        <v>0</v>
      </c>
      <c r="HG81" s="19">
        <f t="shared" si="68"/>
        <v>0</v>
      </c>
      <c r="HH81" s="15">
        <f t="shared" si="69"/>
        <v>0</v>
      </c>
      <c r="HI81" s="11">
        <f t="shared" si="70"/>
        <v>0</v>
      </c>
      <c r="HJ81" s="7">
        <f t="shared" si="71"/>
        <v>0</v>
      </c>
      <c r="HK81" s="13">
        <f t="shared" si="72"/>
        <v>0</v>
      </c>
      <c r="HL81" s="46">
        <f t="shared" si="73"/>
        <v>35.71961587424478</v>
      </c>
      <c r="HM81" s="22">
        <v>2</v>
      </c>
      <c r="HN81" s="7" t="s">
        <v>39</v>
      </c>
      <c r="HO81" s="12">
        <v>28</v>
      </c>
      <c r="HP81" s="7" t="s">
        <v>74</v>
      </c>
      <c r="HQ81" s="7" t="s">
        <v>103</v>
      </c>
      <c r="HR81" s="8">
        <v>43830</v>
      </c>
      <c r="HS81" s="171"/>
      <c r="HT81" s="7">
        <v>359.11</v>
      </c>
      <c r="HU81" s="7"/>
      <c r="HV81" s="7"/>
      <c r="HW81" s="7">
        <v>1001.32</v>
      </c>
      <c r="HX81" s="7">
        <v>86.73</v>
      </c>
      <c r="HY81" s="17">
        <v>1360.43</v>
      </c>
      <c r="HZ81" s="18">
        <f t="shared" si="74"/>
        <v>0</v>
      </c>
      <c r="IA81" s="19">
        <f t="shared" si="75"/>
        <v>0</v>
      </c>
      <c r="IB81" s="20">
        <f t="shared" si="76"/>
        <v>0</v>
      </c>
      <c r="IC81" s="11">
        <f t="shared" si="77"/>
        <v>0</v>
      </c>
      <c r="ID81" s="7">
        <f t="shared" si="78"/>
        <v>0</v>
      </c>
      <c r="IE81" s="13">
        <f t="shared" si="79"/>
        <v>0</v>
      </c>
      <c r="IF81" s="46">
        <f t="shared" si="80"/>
        <v>35.71961587424478</v>
      </c>
      <c r="IG81" s="22">
        <v>2</v>
      </c>
      <c r="IH81" s="7" t="s">
        <v>39</v>
      </c>
    </row>
    <row r="82" spans="1:242" ht="19.5" customHeight="1" thickBot="1">
      <c r="A82" s="10">
        <v>29</v>
      </c>
      <c r="B82" s="6" t="s">
        <v>75</v>
      </c>
      <c r="C82" s="6" t="s">
        <v>23</v>
      </c>
      <c r="D82" s="5">
        <v>43100</v>
      </c>
      <c r="F82" s="6">
        <v>487.24</v>
      </c>
      <c r="H82" s="6">
        <v>487.24</v>
      </c>
      <c r="J82" s="6">
        <v>0</v>
      </c>
      <c r="K82" s="6">
        <v>0</v>
      </c>
      <c r="L82" s="6">
        <v>0</v>
      </c>
      <c r="M82" s="6">
        <v>0</v>
      </c>
      <c r="N82" s="6">
        <v>-233.61361443130033</v>
      </c>
      <c r="O82" s="10">
        <v>1</v>
      </c>
      <c r="P82" s="6" t="s">
        <v>39</v>
      </c>
      <c r="Q82" s="1">
        <v>29</v>
      </c>
      <c r="R82" s="56" t="s">
        <v>75</v>
      </c>
      <c r="S82" s="54">
        <v>705.52</v>
      </c>
      <c r="T82" s="55">
        <v>-683.9641017669895</v>
      </c>
      <c r="U82" s="2" t="s">
        <v>104</v>
      </c>
      <c r="V82" s="30">
        <v>43496</v>
      </c>
      <c r="W82" s="37"/>
      <c r="X82" s="31">
        <v>0.31</v>
      </c>
      <c r="Y82" s="31"/>
      <c r="Z82" s="67"/>
      <c r="AA82" s="49">
        <v>705.21</v>
      </c>
      <c r="AB82" s="58"/>
      <c r="AC82" s="57">
        <f t="shared" si="6"/>
        <v>705.52</v>
      </c>
      <c r="AD82" s="34">
        <f t="shared" si="7"/>
        <v>0</v>
      </c>
      <c r="AE82" s="38">
        <f t="shared" si="8"/>
        <v>0</v>
      </c>
      <c r="AF82" s="39">
        <f t="shared" si="9"/>
        <v>0</v>
      </c>
      <c r="AG82" s="4">
        <f t="shared" si="21"/>
        <v>0</v>
      </c>
      <c r="AH82" s="40">
        <f t="shared" si="10"/>
        <v>-683.9641017669895</v>
      </c>
      <c r="AI82" s="41">
        <v>2</v>
      </c>
      <c r="AJ82" s="36" t="s">
        <v>39</v>
      </c>
      <c r="AK82" s="1">
        <v>29</v>
      </c>
      <c r="AL82" s="2" t="s">
        <v>75</v>
      </c>
      <c r="AM82" s="2" t="s">
        <v>104</v>
      </c>
      <c r="AN82" s="72">
        <v>43521</v>
      </c>
      <c r="AO82" s="73"/>
      <c r="AP82" s="74">
        <v>0.31</v>
      </c>
      <c r="AQ82" s="74"/>
      <c r="AR82" s="77"/>
      <c r="AS82" s="77">
        <v>705.21</v>
      </c>
      <c r="AT82" s="78"/>
      <c r="AU82" s="79">
        <f t="shared" si="11"/>
        <v>705.52</v>
      </c>
      <c r="AV82" s="81">
        <f t="shared" si="12"/>
        <v>0</v>
      </c>
      <c r="AW82" s="80">
        <f>($V$39+$U$9+31.76)/$U$39*AV82</f>
        <v>0</v>
      </c>
      <c r="AX82" s="85">
        <f t="shared" si="22"/>
        <v>0</v>
      </c>
      <c r="AY82" s="91">
        <f t="shared" si="23"/>
        <v>0</v>
      </c>
      <c r="AZ82" s="88">
        <f t="shared" si="24"/>
        <v>-683.9641017669895</v>
      </c>
      <c r="BA82" s="22">
        <v>2</v>
      </c>
      <c r="BB82" s="7" t="s">
        <v>39</v>
      </c>
      <c r="BC82" s="12">
        <v>29</v>
      </c>
      <c r="BD82" s="7" t="s">
        <v>75</v>
      </c>
      <c r="BE82" s="7" t="s">
        <v>104</v>
      </c>
      <c r="BF82" s="8">
        <v>43555</v>
      </c>
      <c r="BG82" s="16"/>
      <c r="BH82" s="7">
        <v>2.93</v>
      </c>
      <c r="BI82" s="7"/>
      <c r="BJ82" s="7"/>
      <c r="BK82" s="7">
        <v>705.21</v>
      </c>
      <c r="BL82" s="7"/>
      <c r="BM82" s="17">
        <f t="shared" si="14"/>
        <v>708.14</v>
      </c>
      <c r="BN82" s="18">
        <f t="shared" si="25"/>
        <v>2.6200000000000045</v>
      </c>
      <c r="BO82" s="19">
        <f t="shared" si="26"/>
        <v>-0.7765728103747407</v>
      </c>
      <c r="BP82" s="15">
        <f t="shared" si="27"/>
        <v>1.8434271896252639</v>
      </c>
      <c r="BQ82" s="11">
        <f t="shared" si="28"/>
        <v>5.198464674743244</v>
      </c>
      <c r="BR82" s="46">
        <f t="shared" si="29"/>
        <v>-678.7656370922463</v>
      </c>
      <c r="BS82" s="22">
        <v>2</v>
      </c>
      <c r="BT82" s="7" t="s">
        <v>39</v>
      </c>
      <c r="BU82" s="12">
        <v>29</v>
      </c>
      <c r="BV82" s="7" t="s">
        <v>75</v>
      </c>
      <c r="BW82" s="7" t="s">
        <v>104</v>
      </c>
      <c r="BX82" s="8">
        <v>43585</v>
      </c>
      <c r="BY82" s="16"/>
      <c r="BZ82" s="7">
        <v>3.85</v>
      </c>
      <c r="CA82" s="7"/>
      <c r="CB82" s="7"/>
      <c r="CC82" s="7">
        <v>705.21</v>
      </c>
      <c r="CD82" s="7"/>
      <c r="CE82" s="17">
        <v>709.0600000000001</v>
      </c>
      <c r="CF82" s="18">
        <f t="shared" si="30"/>
        <v>0.9200000000000728</v>
      </c>
      <c r="CG82" s="19">
        <f t="shared" si="31"/>
        <v>0.0494083874899617</v>
      </c>
      <c r="CH82" s="20">
        <f t="shared" si="32"/>
        <v>0.9694083874900344</v>
      </c>
      <c r="CI82" s="11">
        <f t="shared" si="33"/>
        <v>2.733731652721897</v>
      </c>
      <c r="CJ82" s="46">
        <f t="shared" si="34"/>
        <v>-676.0319054395244</v>
      </c>
      <c r="CK82" s="22">
        <v>2</v>
      </c>
      <c r="CL82" s="7" t="s">
        <v>39</v>
      </c>
      <c r="CM82" s="12">
        <v>29</v>
      </c>
      <c r="CN82" s="7" t="s">
        <v>75</v>
      </c>
      <c r="CO82" s="7" t="s">
        <v>104</v>
      </c>
      <c r="CP82" s="8">
        <v>43615</v>
      </c>
      <c r="CQ82" s="16"/>
      <c r="CR82" s="7">
        <v>19.23</v>
      </c>
      <c r="CS82" s="7"/>
      <c r="CT82" s="7"/>
      <c r="CU82" s="7">
        <v>705.21</v>
      </c>
      <c r="CV82" s="7"/>
      <c r="CW82" s="17">
        <v>724.44</v>
      </c>
      <c r="CX82" s="18">
        <f t="shared" si="35"/>
        <v>15.379999999999995</v>
      </c>
      <c r="CY82" s="19">
        <f t="shared" si="36"/>
        <v>6.624685653154351</v>
      </c>
      <c r="CZ82" s="15">
        <f t="shared" si="37"/>
        <v>22.004685653154347</v>
      </c>
      <c r="DA82" s="11">
        <f t="shared" si="38"/>
        <v>62.05321354189525</v>
      </c>
      <c r="DB82" s="46">
        <f t="shared" si="39"/>
        <v>-613.9786918976291</v>
      </c>
      <c r="DC82" s="22">
        <v>2</v>
      </c>
      <c r="DD82" s="7" t="s">
        <v>39</v>
      </c>
      <c r="DE82" s="1">
        <v>29</v>
      </c>
      <c r="DF82" s="2" t="s">
        <v>75</v>
      </c>
      <c r="DG82" s="2" t="s">
        <v>104</v>
      </c>
      <c r="DH82" s="30">
        <v>43646</v>
      </c>
      <c r="DI82" s="37"/>
      <c r="DJ82" s="31">
        <v>109.88</v>
      </c>
      <c r="DK82" s="58"/>
      <c r="DL82" s="58"/>
      <c r="DM82" s="58">
        <v>705.21</v>
      </c>
      <c r="DN82" s="35"/>
      <c r="DO82" s="57">
        <f t="shared" si="15"/>
        <v>815.09</v>
      </c>
      <c r="DP82" s="18">
        <f t="shared" si="40"/>
        <v>90.64999999999998</v>
      </c>
      <c r="DQ82" s="19">
        <f t="shared" si="41"/>
        <v>-1.6743438965540651</v>
      </c>
      <c r="DR82" s="15">
        <f t="shared" si="42"/>
        <v>88.97565610344591</v>
      </c>
      <c r="DS82" s="11">
        <f t="shared" si="43"/>
        <v>250.91135021171746</v>
      </c>
      <c r="DT82" s="46">
        <f t="shared" si="44"/>
        <v>-363.06734168591163</v>
      </c>
      <c r="DU82" s="22">
        <v>2</v>
      </c>
      <c r="DV82" s="7" t="s">
        <v>39</v>
      </c>
      <c r="DW82" s="12">
        <v>29</v>
      </c>
      <c r="DX82" s="7" t="s">
        <v>75</v>
      </c>
      <c r="DY82" s="7" t="s">
        <v>104</v>
      </c>
      <c r="DZ82" s="8">
        <v>43677</v>
      </c>
      <c r="EA82" s="16"/>
      <c r="EB82" s="7">
        <v>194.04</v>
      </c>
      <c r="EC82" s="7"/>
      <c r="ED82" s="7"/>
      <c r="EE82" s="7">
        <v>705.21</v>
      </c>
      <c r="EF82" s="7"/>
      <c r="EG82" s="17">
        <v>899.25</v>
      </c>
      <c r="EH82" s="18">
        <f t="shared" si="45"/>
        <v>84.15999999999997</v>
      </c>
      <c r="EI82" s="19">
        <f t="shared" si="46"/>
        <v>14.537505854224541</v>
      </c>
      <c r="EJ82" s="15">
        <f t="shared" si="47"/>
        <v>98.69750585422452</v>
      </c>
      <c r="EK82" s="11">
        <f t="shared" si="48"/>
        <v>286.22276697725107</v>
      </c>
      <c r="EL82" s="125">
        <f t="shared" si="49"/>
        <v>-76.84457470866056</v>
      </c>
      <c r="EM82" s="22">
        <v>2</v>
      </c>
      <c r="EN82" s="7" t="s">
        <v>39</v>
      </c>
      <c r="EO82" s="12">
        <v>29</v>
      </c>
      <c r="EP82" s="7" t="s">
        <v>75</v>
      </c>
      <c r="EQ82" s="7" t="s">
        <v>104</v>
      </c>
      <c r="ER82" s="8">
        <v>43708</v>
      </c>
      <c r="ES82" s="16"/>
      <c r="ET82" s="7">
        <v>265.75</v>
      </c>
      <c r="EU82" s="7"/>
      <c r="EV82" s="7"/>
      <c r="EW82" s="7">
        <v>705.21</v>
      </c>
      <c r="EX82" s="7"/>
      <c r="EY82" s="17">
        <f t="shared" si="16"/>
        <v>970.96</v>
      </c>
      <c r="EZ82" s="18">
        <f t="shared" si="50"/>
        <v>71.71000000000004</v>
      </c>
      <c r="FA82" s="19">
        <f t="shared" si="51"/>
        <v>8.16816658109336</v>
      </c>
      <c r="FB82" s="15">
        <f t="shared" si="52"/>
        <v>79.8781665810934</v>
      </c>
      <c r="FC82" s="11">
        <f t="shared" si="53"/>
        <v>231.64668308517085</v>
      </c>
      <c r="FD82" s="21">
        <f t="shared" si="54"/>
        <v>154.8021083765103</v>
      </c>
      <c r="FE82" s="22">
        <v>2</v>
      </c>
      <c r="FF82" s="7" t="s">
        <v>39</v>
      </c>
      <c r="FG82" s="7">
        <v>29</v>
      </c>
      <c r="FH82" s="7" t="s">
        <v>75</v>
      </c>
      <c r="FI82" s="7" t="s">
        <v>104</v>
      </c>
      <c r="FJ82" s="8">
        <v>43735</v>
      </c>
      <c r="FK82" s="16"/>
      <c r="FL82" s="7">
        <v>277.47</v>
      </c>
      <c r="FM82" s="7"/>
      <c r="FN82" s="7"/>
      <c r="FO82" s="7">
        <v>705.21</v>
      </c>
      <c r="FP82" s="7"/>
      <c r="FQ82" s="17">
        <v>982.6800000000001</v>
      </c>
      <c r="FR82" s="18">
        <f t="shared" si="55"/>
        <v>11.720000000000027</v>
      </c>
      <c r="FS82" s="19">
        <f t="shared" si="56"/>
        <v>0.08769484130212193</v>
      </c>
      <c r="FT82" s="15">
        <f t="shared" si="57"/>
        <v>11.80769484130215</v>
      </c>
      <c r="FU82" s="11">
        <f t="shared" si="58"/>
        <v>34.24231503977623</v>
      </c>
      <c r="FV82" s="128">
        <f t="shared" si="17"/>
        <v>-2.6002885143120675</v>
      </c>
      <c r="FW82" s="13">
        <f t="shared" si="59"/>
        <v>31.64202652546416</v>
      </c>
      <c r="FX82" s="21">
        <f t="shared" si="60"/>
        <v>186.44413490197445</v>
      </c>
      <c r="FY82" s="22">
        <v>2</v>
      </c>
      <c r="FZ82" s="7" t="s">
        <v>39</v>
      </c>
      <c r="GA82" s="134">
        <v>29</v>
      </c>
      <c r="GB82" s="135" t="s">
        <v>75</v>
      </c>
      <c r="GC82" s="135" t="s">
        <v>104</v>
      </c>
      <c r="GD82" s="136">
        <v>43771</v>
      </c>
      <c r="GE82" s="138"/>
      <c r="GF82" s="139">
        <v>284.44</v>
      </c>
      <c r="GG82" s="3"/>
      <c r="GH82" s="3"/>
      <c r="GI82" s="3">
        <v>705.21</v>
      </c>
      <c r="GJ82" s="3"/>
      <c r="GK82" s="32">
        <f t="shared" si="18"/>
        <v>989.6500000000001</v>
      </c>
      <c r="GL82" s="18">
        <f t="shared" si="61"/>
        <v>6.970000000000027</v>
      </c>
      <c r="GM82" s="19">
        <f t="shared" si="62"/>
        <v>-0.8064492524005058</v>
      </c>
      <c r="GN82" s="15">
        <f t="shared" si="63"/>
        <v>6.163550747599522</v>
      </c>
      <c r="GO82" s="11">
        <f t="shared" si="64"/>
        <v>17.874297168038613</v>
      </c>
      <c r="GP82" s="7">
        <f t="shared" si="19"/>
        <v>-2.6393204808470805</v>
      </c>
      <c r="GQ82" s="13">
        <f t="shared" si="65"/>
        <v>15.234976687191532</v>
      </c>
      <c r="GR82" s="46">
        <f t="shared" si="66"/>
        <v>201.67911158916598</v>
      </c>
      <c r="GS82" s="22">
        <v>2</v>
      </c>
      <c r="GT82" s="7" t="s">
        <v>39</v>
      </c>
      <c r="GU82" s="148">
        <v>29</v>
      </c>
      <c r="GV82" s="148" t="s">
        <v>75</v>
      </c>
      <c r="GW82" s="148" t="s">
        <v>104</v>
      </c>
      <c r="GX82" s="155">
        <v>43795</v>
      </c>
      <c r="GY82" s="156"/>
      <c r="GZ82" s="148">
        <v>284.62</v>
      </c>
      <c r="HA82" s="157"/>
      <c r="HB82" s="157"/>
      <c r="HC82" s="157">
        <v>705.21</v>
      </c>
      <c r="HD82" s="157"/>
      <c r="HE82" s="158">
        <f t="shared" si="20"/>
        <v>989.83</v>
      </c>
      <c r="HF82" s="18">
        <f t="shared" si="67"/>
        <v>0.17999999999994998</v>
      </c>
      <c r="HG82" s="19">
        <f t="shared" si="68"/>
        <v>0.04411810668478102</v>
      </c>
      <c r="HH82" s="15">
        <f t="shared" si="69"/>
        <v>0.224118106684731</v>
      </c>
      <c r="HI82" s="11">
        <f t="shared" si="70"/>
        <v>0.6499425093857198</v>
      </c>
      <c r="HJ82" s="7">
        <f t="shared" si="71"/>
        <v>-0.08226049283112014</v>
      </c>
      <c r="HK82" s="13">
        <f t="shared" si="72"/>
        <v>0.5676820165545997</v>
      </c>
      <c r="HL82" s="46">
        <f t="shared" si="73"/>
        <v>202.2467936057206</v>
      </c>
      <c r="HM82" s="22">
        <v>2</v>
      </c>
      <c r="HN82" s="7" t="s">
        <v>39</v>
      </c>
      <c r="HO82" s="12">
        <v>29</v>
      </c>
      <c r="HP82" s="7" t="s">
        <v>75</v>
      </c>
      <c r="HQ82" s="7" t="s">
        <v>104</v>
      </c>
      <c r="HR82" s="8">
        <v>43830</v>
      </c>
      <c r="HS82" s="171"/>
      <c r="HT82" s="7">
        <v>284.62</v>
      </c>
      <c r="HU82" s="7"/>
      <c r="HV82" s="7"/>
      <c r="HW82" s="7">
        <v>705.21</v>
      </c>
      <c r="HX82" s="7"/>
      <c r="HY82" s="17">
        <v>989.83</v>
      </c>
      <c r="HZ82" s="18">
        <f t="shared" si="74"/>
        <v>0</v>
      </c>
      <c r="IA82" s="19">
        <f t="shared" si="75"/>
        <v>0</v>
      </c>
      <c r="IB82" s="20">
        <f t="shared" si="76"/>
        <v>0</v>
      </c>
      <c r="IC82" s="11">
        <f t="shared" si="77"/>
        <v>0</v>
      </c>
      <c r="ID82" s="7">
        <f t="shared" si="78"/>
        <v>0</v>
      </c>
      <c r="IE82" s="13">
        <f t="shared" si="79"/>
        <v>0</v>
      </c>
      <c r="IF82" s="46">
        <f t="shared" si="80"/>
        <v>202.2467936057206</v>
      </c>
      <c r="IG82" s="22">
        <v>2</v>
      </c>
      <c r="IH82" s="7" t="s">
        <v>39</v>
      </c>
    </row>
    <row r="83" spans="1:242" ht="19.5" customHeight="1" thickBot="1">
      <c r="A83" s="10">
        <v>30</v>
      </c>
      <c r="B83" s="6" t="s">
        <v>76</v>
      </c>
      <c r="C83" s="6" t="s">
        <v>13</v>
      </c>
      <c r="D83" s="5">
        <v>42992</v>
      </c>
      <c r="F83" s="6">
        <v>670.89</v>
      </c>
      <c r="G83" s="6">
        <v>76.96</v>
      </c>
      <c r="H83" s="6">
        <v>747.85</v>
      </c>
      <c r="J83" s="6">
        <v>22.50999999999999</v>
      </c>
      <c r="K83" s="6">
        <v>-3.2309069796160443</v>
      </c>
      <c r="L83" s="6">
        <v>19.279093020383947</v>
      </c>
      <c r="M83" s="6">
        <v>51.08959650401746</v>
      </c>
      <c r="N83" s="6">
        <v>-912.4038121828489</v>
      </c>
      <c r="O83" s="10" t="s">
        <v>40</v>
      </c>
      <c r="P83" s="6" t="s">
        <v>41</v>
      </c>
      <c r="Q83" s="1">
        <v>30</v>
      </c>
      <c r="R83" s="56" t="s">
        <v>76</v>
      </c>
      <c r="S83" s="54">
        <v>1003.1500000000001</v>
      </c>
      <c r="T83" s="55">
        <v>8.15874239905013</v>
      </c>
      <c r="U83" s="2" t="s">
        <v>99</v>
      </c>
      <c r="V83" s="30">
        <v>43496</v>
      </c>
      <c r="W83" s="37"/>
      <c r="X83" s="31">
        <v>305.92</v>
      </c>
      <c r="Y83" s="65"/>
      <c r="Z83" s="68">
        <f>26.35+697.24-26.35</f>
        <v>697.24</v>
      </c>
      <c r="AA83" s="66">
        <v>697.24</v>
      </c>
      <c r="AB83" s="58">
        <f>76.96</f>
        <v>76.96</v>
      </c>
      <c r="AC83" s="57">
        <f t="shared" si="6"/>
        <v>1700.4</v>
      </c>
      <c r="AD83" s="34">
        <f t="shared" si="7"/>
        <v>697.25</v>
      </c>
      <c r="AE83" s="38">
        <f t="shared" si="8"/>
        <v>93.91450358871629</v>
      </c>
      <c r="AF83" s="39">
        <f t="shared" si="9"/>
        <v>791.1645035887163</v>
      </c>
      <c r="AG83" s="4">
        <f t="shared" si="21"/>
        <v>2191.5256749407445</v>
      </c>
      <c r="AH83" s="40">
        <f t="shared" si="10"/>
        <v>2199.6844173397944</v>
      </c>
      <c r="AI83" s="41">
        <v>2</v>
      </c>
      <c r="AJ83" s="36" t="s">
        <v>39</v>
      </c>
      <c r="AK83" s="1">
        <v>30</v>
      </c>
      <c r="AL83" s="2" t="s">
        <v>76</v>
      </c>
      <c r="AM83" s="2" t="s">
        <v>99</v>
      </c>
      <c r="AN83" s="72">
        <v>43521</v>
      </c>
      <c r="AO83" s="73"/>
      <c r="AP83" s="74">
        <v>306.54</v>
      </c>
      <c r="AQ83" s="74"/>
      <c r="AR83" s="76">
        <f>26.35+697.24-26.35-697.24</f>
        <v>0</v>
      </c>
      <c r="AS83" s="77">
        <v>697.24</v>
      </c>
      <c r="AT83" s="78">
        <f>76.96</f>
        <v>76.96</v>
      </c>
      <c r="AU83" s="79">
        <f t="shared" si="11"/>
        <v>1003.78</v>
      </c>
      <c r="AV83" s="81">
        <f t="shared" si="12"/>
        <v>-696.6200000000001</v>
      </c>
      <c r="AW83" s="80">
        <f>-AE83+($V$39)/$U$39*(AP83-X83)</f>
        <v>-93.5783790620547</v>
      </c>
      <c r="AX83" s="85">
        <f t="shared" si="22"/>
        <v>-790.1983790620548</v>
      </c>
      <c r="AY83" s="91">
        <f>-791.16*2.77+0.96*2.82</f>
        <v>-2188.806</v>
      </c>
      <c r="AZ83" s="88">
        <f t="shared" si="24"/>
        <v>10.878417339794396</v>
      </c>
      <c r="BA83" s="22">
        <v>2</v>
      </c>
      <c r="BB83" s="7" t="s">
        <v>39</v>
      </c>
      <c r="BC83" s="12">
        <v>30</v>
      </c>
      <c r="BD83" s="7" t="s">
        <v>76</v>
      </c>
      <c r="BE83" s="7" t="s">
        <v>99</v>
      </c>
      <c r="BF83" s="8">
        <v>43555</v>
      </c>
      <c r="BG83" s="16"/>
      <c r="BH83" s="7">
        <v>306.98</v>
      </c>
      <c r="BI83" s="7"/>
      <c r="BJ83" s="7">
        <f>26.35+697.24-26.35-697.24</f>
        <v>0</v>
      </c>
      <c r="BK83" s="7">
        <v>697.24</v>
      </c>
      <c r="BL83" s="7">
        <f>76.96</f>
        <v>76.96</v>
      </c>
      <c r="BM83" s="17">
        <f t="shared" si="14"/>
        <v>1004.22</v>
      </c>
      <c r="BN83" s="18">
        <f t="shared" si="25"/>
        <v>0.44000000000005457</v>
      </c>
      <c r="BO83" s="19">
        <f t="shared" si="26"/>
        <v>-0.13041680784920903</v>
      </c>
      <c r="BP83" s="15">
        <f t="shared" si="27"/>
        <v>0.3095831921508455</v>
      </c>
      <c r="BQ83" s="11">
        <f t="shared" si="28"/>
        <v>0.8730246018653843</v>
      </c>
      <c r="BR83" s="46">
        <f t="shared" si="29"/>
        <v>11.751441941659781</v>
      </c>
      <c r="BS83" s="22">
        <v>2</v>
      </c>
      <c r="BT83" s="7" t="s">
        <v>39</v>
      </c>
      <c r="BU83" s="12">
        <v>30</v>
      </c>
      <c r="BV83" s="7" t="s">
        <v>76</v>
      </c>
      <c r="BW83" s="7" t="s">
        <v>99</v>
      </c>
      <c r="BX83" s="8">
        <v>43585</v>
      </c>
      <c r="BY83" s="16"/>
      <c r="BZ83" s="7">
        <v>309.39</v>
      </c>
      <c r="CA83" s="7"/>
      <c r="CB83" s="7">
        <v>0</v>
      </c>
      <c r="CC83" s="7">
        <v>697.24</v>
      </c>
      <c r="CD83" s="7">
        <v>76.96</v>
      </c>
      <c r="CE83" s="17">
        <v>1006.63</v>
      </c>
      <c r="CF83" s="18">
        <f t="shared" si="30"/>
        <v>2.409999999999968</v>
      </c>
      <c r="CG83" s="19">
        <f t="shared" si="31"/>
        <v>0.1294284933160834</v>
      </c>
      <c r="CH83" s="20">
        <f t="shared" si="32"/>
        <v>2.5394284933160516</v>
      </c>
      <c r="CI83" s="11">
        <f t="shared" si="33"/>
        <v>7.161188351151265</v>
      </c>
      <c r="CJ83" s="46">
        <f t="shared" si="34"/>
        <v>18.912630292811045</v>
      </c>
      <c r="CK83" s="22">
        <v>2</v>
      </c>
      <c r="CL83" s="7" t="s">
        <v>39</v>
      </c>
      <c r="CM83" s="12">
        <v>30</v>
      </c>
      <c r="CN83" s="7" t="s">
        <v>76</v>
      </c>
      <c r="CO83" s="7" t="s">
        <v>99</v>
      </c>
      <c r="CP83" s="8">
        <v>43615</v>
      </c>
      <c r="CQ83" s="16"/>
      <c r="CR83" s="7">
        <v>315.63</v>
      </c>
      <c r="CS83" s="7"/>
      <c r="CT83" s="7">
        <v>0</v>
      </c>
      <c r="CU83" s="7">
        <v>697.24</v>
      </c>
      <c r="CV83" s="7">
        <v>76.96</v>
      </c>
      <c r="CW83" s="17">
        <v>1012.87</v>
      </c>
      <c r="CX83" s="18">
        <f t="shared" si="35"/>
        <v>6.240000000000009</v>
      </c>
      <c r="CY83" s="19">
        <f t="shared" si="36"/>
        <v>2.6877788345697806</v>
      </c>
      <c r="CZ83" s="15">
        <f t="shared" si="37"/>
        <v>8.92777883456979</v>
      </c>
      <c r="DA83" s="11">
        <f t="shared" si="38"/>
        <v>25.176336313486804</v>
      </c>
      <c r="DB83" s="46">
        <f t="shared" si="39"/>
        <v>44.088966606297845</v>
      </c>
      <c r="DC83" s="22">
        <v>2</v>
      </c>
      <c r="DD83" s="7" t="s">
        <v>39</v>
      </c>
      <c r="DE83" s="1">
        <v>30</v>
      </c>
      <c r="DF83" s="2" t="s">
        <v>76</v>
      </c>
      <c r="DG83" s="2" t="s">
        <v>99</v>
      </c>
      <c r="DH83" s="30">
        <v>43646</v>
      </c>
      <c r="DI83" s="37"/>
      <c r="DJ83" s="31">
        <v>396.53000000000003</v>
      </c>
      <c r="DK83" s="58"/>
      <c r="DL83" s="58">
        <f>26.35+697.24-26.35-697.24</f>
        <v>0</v>
      </c>
      <c r="DM83" s="58">
        <v>697.24</v>
      </c>
      <c r="DN83" s="35">
        <f>76.96</f>
        <v>76.96</v>
      </c>
      <c r="DO83" s="57">
        <f t="shared" si="15"/>
        <v>1093.77</v>
      </c>
      <c r="DP83" s="18">
        <f t="shared" si="40"/>
        <v>80.89999999999998</v>
      </c>
      <c r="DQ83" s="19">
        <f t="shared" si="41"/>
        <v>-1.4942572667537106</v>
      </c>
      <c r="DR83" s="15">
        <f t="shared" si="42"/>
        <v>79.40574273324627</v>
      </c>
      <c r="DS83" s="11">
        <f t="shared" si="43"/>
        <v>223.92419450775446</v>
      </c>
      <c r="DT83" s="46">
        <f t="shared" si="44"/>
        <v>268.0131611140523</v>
      </c>
      <c r="DU83" s="22">
        <v>2</v>
      </c>
      <c r="DV83" s="7" t="s">
        <v>39</v>
      </c>
      <c r="DW83" s="12">
        <v>30</v>
      </c>
      <c r="DX83" s="7" t="s">
        <v>76</v>
      </c>
      <c r="DY83" s="7" t="s">
        <v>99</v>
      </c>
      <c r="DZ83" s="8">
        <v>43677</v>
      </c>
      <c r="EA83" s="16">
        <v>500</v>
      </c>
      <c r="EB83" s="7">
        <v>504.44</v>
      </c>
      <c r="EC83" s="7"/>
      <c r="ED83" s="7">
        <v>0</v>
      </c>
      <c r="EE83" s="7">
        <v>697.24</v>
      </c>
      <c r="EF83" s="7">
        <v>76.96</v>
      </c>
      <c r="EG83" s="17">
        <v>1201.68</v>
      </c>
      <c r="EH83" s="18">
        <f t="shared" si="45"/>
        <v>107.91000000000008</v>
      </c>
      <c r="EI83" s="19">
        <f t="shared" si="46"/>
        <v>18.639998297639874</v>
      </c>
      <c r="EJ83" s="15">
        <f t="shared" si="47"/>
        <v>126.54999829763996</v>
      </c>
      <c r="EK83" s="11">
        <f t="shared" si="48"/>
        <v>366.9949950631559</v>
      </c>
      <c r="EL83" s="125">
        <f t="shared" si="49"/>
        <v>135.0081561772082</v>
      </c>
      <c r="EM83" s="22">
        <v>2</v>
      </c>
      <c r="EN83" s="7" t="s">
        <v>39</v>
      </c>
      <c r="EO83" s="12">
        <v>30</v>
      </c>
      <c r="EP83" s="7" t="s">
        <v>76</v>
      </c>
      <c r="EQ83" s="7" t="s">
        <v>99</v>
      </c>
      <c r="ER83" s="8">
        <v>43708</v>
      </c>
      <c r="ES83" s="16"/>
      <c r="ET83" s="7">
        <v>609.79</v>
      </c>
      <c r="EU83" s="7"/>
      <c r="EV83" s="7">
        <f>26.35+697.24-26.35-697.24</f>
        <v>0</v>
      </c>
      <c r="EW83" s="7">
        <v>697.24</v>
      </c>
      <c r="EX83" s="7">
        <f>76.96</f>
        <v>76.96</v>
      </c>
      <c r="EY83" s="17">
        <f t="shared" si="16"/>
        <v>1307.03</v>
      </c>
      <c r="EZ83" s="18">
        <f t="shared" si="50"/>
        <v>105.34999999999991</v>
      </c>
      <c r="FA83" s="19">
        <f t="shared" si="51"/>
        <v>11.9999490910359</v>
      </c>
      <c r="FB83" s="15">
        <f t="shared" si="52"/>
        <v>117.34994909103581</v>
      </c>
      <c r="FC83" s="11">
        <f t="shared" si="53"/>
        <v>340.31485236400385</v>
      </c>
      <c r="FD83" s="21">
        <f t="shared" si="54"/>
        <v>475.32300854121206</v>
      </c>
      <c r="FE83" s="22">
        <v>2</v>
      </c>
      <c r="FF83" s="7" t="s">
        <v>39</v>
      </c>
      <c r="FG83" s="7">
        <v>30</v>
      </c>
      <c r="FH83" s="7" t="s">
        <v>76</v>
      </c>
      <c r="FI83" s="7" t="s">
        <v>99</v>
      </c>
      <c r="FJ83" s="8">
        <v>43735</v>
      </c>
      <c r="FK83" s="16">
        <v>1010</v>
      </c>
      <c r="FL83" s="7">
        <v>689.96</v>
      </c>
      <c r="FM83" s="7"/>
      <c r="FN83" s="7">
        <v>0</v>
      </c>
      <c r="FO83" s="7">
        <v>697.24</v>
      </c>
      <c r="FP83" s="7">
        <v>76.96</v>
      </c>
      <c r="FQ83" s="17">
        <v>1387.2</v>
      </c>
      <c r="FR83" s="18">
        <f t="shared" si="55"/>
        <v>80.17000000000007</v>
      </c>
      <c r="FS83" s="19">
        <f t="shared" si="56"/>
        <v>0.5998716234804697</v>
      </c>
      <c r="FT83" s="15">
        <f t="shared" si="57"/>
        <v>80.76987162348054</v>
      </c>
      <c r="FU83" s="11">
        <f t="shared" si="58"/>
        <v>234.23262770809356</v>
      </c>
      <c r="FV83" s="128">
        <f t="shared" si="17"/>
        <v>-17.78712714952203</v>
      </c>
      <c r="FW83" s="13">
        <f t="shared" si="59"/>
        <v>216.44550055857152</v>
      </c>
      <c r="FX83" s="21">
        <f t="shared" si="60"/>
        <v>-318.2314909002164</v>
      </c>
      <c r="FY83" s="22">
        <v>2</v>
      </c>
      <c r="FZ83" s="7" t="s">
        <v>39</v>
      </c>
      <c r="GA83" s="134">
        <v>30</v>
      </c>
      <c r="GB83" s="135" t="s">
        <v>76</v>
      </c>
      <c r="GC83" s="135" t="s">
        <v>99</v>
      </c>
      <c r="GD83" s="136">
        <v>43771</v>
      </c>
      <c r="GE83" s="138"/>
      <c r="GF83" s="139">
        <v>746.52</v>
      </c>
      <c r="GG83" s="3"/>
      <c r="GH83" s="3">
        <f>26.35+697.24-26.35-697.24</f>
        <v>0</v>
      </c>
      <c r="GI83" s="3">
        <v>697.24</v>
      </c>
      <c r="GJ83" s="3">
        <f>76.96</f>
        <v>76.96</v>
      </c>
      <c r="GK83" s="32">
        <f t="shared" si="18"/>
        <v>1443.76</v>
      </c>
      <c r="GL83" s="18">
        <f t="shared" si="61"/>
        <v>56.559999999999945</v>
      </c>
      <c r="GM83" s="19">
        <f t="shared" si="62"/>
        <v>-6.544156343726311</v>
      </c>
      <c r="GN83" s="15">
        <f t="shared" si="63"/>
        <v>50.01584365627363</v>
      </c>
      <c r="GO83" s="11">
        <f t="shared" si="64"/>
        <v>145.04594660319353</v>
      </c>
      <c r="GP83" s="7">
        <f t="shared" si="19"/>
        <v>-21.417498765668597</v>
      </c>
      <c r="GQ83" s="13">
        <f t="shared" si="65"/>
        <v>123.62844783752493</v>
      </c>
      <c r="GR83" s="46">
        <f t="shared" si="66"/>
        <v>-194.60304306269146</v>
      </c>
      <c r="GS83" s="22">
        <v>2</v>
      </c>
      <c r="GT83" s="7" t="s">
        <v>39</v>
      </c>
      <c r="GU83" s="148">
        <v>30</v>
      </c>
      <c r="GV83" s="148" t="s">
        <v>76</v>
      </c>
      <c r="GW83" s="148" t="s">
        <v>99</v>
      </c>
      <c r="GX83" s="155">
        <v>43795</v>
      </c>
      <c r="GY83" s="156"/>
      <c r="GZ83" s="148">
        <v>747.26</v>
      </c>
      <c r="HA83" s="157"/>
      <c r="HB83" s="157">
        <f>26.35+697.24-26.35-697.24</f>
        <v>0</v>
      </c>
      <c r="HC83" s="157">
        <v>697.24</v>
      </c>
      <c r="HD83" s="157">
        <f>76.96</f>
        <v>76.96</v>
      </c>
      <c r="HE83" s="158">
        <f t="shared" si="20"/>
        <v>1444.5</v>
      </c>
      <c r="HF83" s="18">
        <f t="shared" si="67"/>
        <v>0.7400000000000091</v>
      </c>
      <c r="HG83" s="19">
        <f t="shared" si="68"/>
        <v>0.18137443859304128</v>
      </c>
      <c r="HH83" s="15">
        <f t="shared" si="69"/>
        <v>0.9213744385930503</v>
      </c>
      <c r="HI83" s="11">
        <f t="shared" si="70"/>
        <v>2.671985871919846</v>
      </c>
      <c r="HJ83" s="7">
        <f t="shared" si="71"/>
        <v>-0.33818202608359205</v>
      </c>
      <c r="HK83" s="13">
        <f t="shared" si="72"/>
        <v>2.333803845836254</v>
      </c>
      <c r="HL83" s="46">
        <f t="shared" si="73"/>
        <v>-192.2692392168552</v>
      </c>
      <c r="HM83" s="22">
        <v>2</v>
      </c>
      <c r="HN83" s="7" t="s">
        <v>39</v>
      </c>
      <c r="HO83" s="12">
        <v>30</v>
      </c>
      <c r="HP83" s="7" t="s">
        <v>76</v>
      </c>
      <c r="HQ83" s="7" t="s">
        <v>99</v>
      </c>
      <c r="HR83" s="8">
        <v>43830</v>
      </c>
      <c r="HS83" s="171"/>
      <c r="HT83" s="7">
        <v>747.27</v>
      </c>
      <c r="HU83" s="7"/>
      <c r="HV83" s="7">
        <v>0</v>
      </c>
      <c r="HW83" s="7">
        <v>697.24</v>
      </c>
      <c r="HX83" s="7">
        <v>76.96</v>
      </c>
      <c r="HY83" s="17">
        <v>1444.51</v>
      </c>
      <c r="HZ83" s="18">
        <f t="shared" si="74"/>
        <v>0.009999999999990905</v>
      </c>
      <c r="IA83" s="19">
        <f t="shared" si="75"/>
        <v>0.0011999999999989094</v>
      </c>
      <c r="IB83" s="20">
        <f t="shared" si="76"/>
        <v>0.011199999999989815</v>
      </c>
      <c r="IC83" s="11">
        <f t="shared" si="77"/>
        <v>0.03247999999997046</v>
      </c>
      <c r="ID83" s="7">
        <f t="shared" si="78"/>
        <v>-0.003303932350673218</v>
      </c>
      <c r="IE83" s="13">
        <f t="shared" si="79"/>
        <v>0.029176067649297244</v>
      </c>
      <c r="IF83" s="46">
        <f t="shared" si="80"/>
        <v>-192.2400631492059</v>
      </c>
      <c r="IG83" s="22">
        <v>2</v>
      </c>
      <c r="IH83" s="7" t="s">
        <v>39</v>
      </c>
    </row>
    <row r="84" spans="2:242" s="52" customFormat="1" ht="19.5" customHeight="1">
      <c r="B84" s="52" t="s">
        <v>28</v>
      </c>
      <c r="E84" s="52">
        <v>32800</v>
      </c>
      <c r="F84" s="52">
        <v>176713.55000000002</v>
      </c>
      <c r="G84" s="52">
        <v>8609.81</v>
      </c>
      <c r="H84" s="52">
        <v>185323.36000000002</v>
      </c>
      <c r="I84" s="52">
        <v>228038.04</v>
      </c>
      <c r="J84" s="52">
        <v>10041.239999999998</v>
      </c>
      <c r="K84" s="52">
        <v>-1441.2399999999918</v>
      </c>
      <c r="L84" s="52">
        <v>8600.000000000007</v>
      </c>
      <c r="M84" s="52">
        <v>22790.00000000002</v>
      </c>
      <c r="N84" s="52">
        <v>12574.480000000076</v>
      </c>
      <c r="Q84" s="103"/>
      <c r="R84" s="104" t="s">
        <v>96</v>
      </c>
      <c r="S84" s="15">
        <f>SUM(S54:S83)</f>
        <v>272583.1700000001</v>
      </c>
      <c r="T84" s="15">
        <v>44404.79000000008</v>
      </c>
      <c r="U84" s="104"/>
      <c r="V84" s="104"/>
      <c r="W84" s="105">
        <f aca="true" t="shared" si="81" ref="W84:AH84">SUM(W54:W83)</f>
        <v>43778.71</v>
      </c>
      <c r="X84" s="106">
        <f t="shared" si="81"/>
        <v>277264.22000000003</v>
      </c>
      <c r="Y84" s="106">
        <f t="shared" si="81"/>
        <v>5.01</v>
      </c>
      <c r="Z84" s="107">
        <f t="shared" si="81"/>
        <v>697.24</v>
      </c>
      <c r="AA84" s="106">
        <f t="shared" si="81"/>
        <v>9510.6</v>
      </c>
      <c r="AB84" s="106">
        <f t="shared" si="81"/>
        <v>31694.129999999997</v>
      </c>
      <c r="AC84" s="106">
        <f t="shared" si="81"/>
        <v>287477.07000000007</v>
      </c>
      <c r="AD84" s="106">
        <f t="shared" si="81"/>
        <v>14893.900000000005</v>
      </c>
      <c r="AE84" s="106">
        <f t="shared" si="81"/>
        <v>2006.0999999999742</v>
      </c>
      <c r="AF84" s="106">
        <f t="shared" si="81"/>
        <v>16899.999999999978</v>
      </c>
      <c r="AG84" s="106">
        <f t="shared" si="81"/>
        <v>46812.99999999994</v>
      </c>
      <c r="AH84" s="15">
        <f t="shared" si="81"/>
        <v>47439.08000000003</v>
      </c>
      <c r="AI84" s="15"/>
      <c r="AJ84" s="15"/>
      <c r="AK84" s="108"/>
      <c r="AL84" s="108"/>
      <c r="AM84" s="108"/>
      <c r="AN84" s="103"/>
      <c r="AO84" s="109">
        <f>SUM(AO54:AO83)</f>
        <v>38690.24</v>
      </c>
      <c r="AP84" s="109">
        <f aca="true" t="shared" si="82" ref="AP84:AU84">SUM(AP54:AP83)</f>
        <v>289716.01</v>
      </c>
      <c r="AQ84" s="109">
        <f t="shared" si="82"/>
        <v>52.269999999999996</v>
      </c>
      <c r="AR84" s="109">
        <f t="shared" si="82"/>
        <v>0</v>
      </c>
      <c r="AS84" s="109">
        <f t="shared" si="82"/>
        <v>9510.6</v>
      </c>
      <c r="AT84" s="109">
        <f t="shared" si="82"/>
        <v>31694.129999999997</v>
      </c>
      <c r="AU84" s="109">
        <f t="shared" si="82"/>
        <v>299278.88000000006</v>
      </c>
      <c r="AV84" s="109">
        <f>SUM(AV54:AV83)</f>
        <v>11801.809999999992</v>
      </c>
      <c r="AW84" s="109">
        <f>SUM(AW54:AW83)</f>
        <v>6398.191354597444</v>
      </c>
      <c r="AX84" s="110">
        <f>SUM(AX54:AX83)</f>
        <v>18200.00135459744</v>
      </c>
      <c r="AY84" s="111">
        <f>SUM(AY54:AY83)</f>
        <v>51324.00324947452</v>
      </c>
      <c r="AZ84" s="112">
        <f>SUM(AZ54:AZ83)</f>
        <v>60072.843249474536</v>
      </c>
      <c r="BA84" s="96"/>
      <c r="BB84" s="96"/>
      <c r="BC84" s="96"/>
      <c r="BD84" s="15" t="s">
        <v>96</v>
      </c>
      <c r="BE84" s="96"/>
      <c r="BF84" s="96"/>
      <c r="BG84" s="96">
        <f>SUM(BG54:BG83)</f>
        <v>61532.11</v>
      </c>
      <c r="BH84" s="96">
        <f>SUM(BH54:BH83)</f>
        <v>304327.09</v>
      </c>
      <c r="BI84" s="96">
        <f aca="true" t="shared" si="83" ref="BI84:BR84">SUM(BI54:BI83)</f>
        <v>119.99000000000001</v>
      </c>
      <c r="BJ84" s="96">
        <f t="shared" si="83"/>
        <v>-3877.1800000000003</v>
      </c>
      <c r="BK84" s="96">
        <f t="shared" si="83"/>
        <v>9510.6</v>
      </c>
      <c r="BL84" s="96">
        <f t="shared" si="83"/>
        <v>31694.129999999997</v>
      </c>
      <c r="BM84" s="96">
        <f t="shared" si="83"/>
        <v>310080.5</v>
      </c>
      <c r="BN84" s="96">
        <f t="shared" si="83"/>
        <v>10801.620000000003</v>
      </c>
      <c r="BO84" s="96">
        <f t="shared" si="83"/>
        <v>-3201.6199999999967</v>
      </c>
      <c r="BP84" s="96">
        <f t="shared" si="83"/>
        <v>7600.000000000005</v>
      </c>
      <c r="BQ84" s="96">
        <f t="shared" si="83"/>
        <v>21432.00000000001</v>
      </c>
      <c r="BR84" s="96">
        <f t="shared" si="83"/>
        <v>19972.733249474553</v>
      </c>
      <c r="BS84" s="96"/>
      <c r="BT84" s="96"/>
      <c r="BU84" s="96"/>
      <c r="BV84" s="15" t="s">
        <v>96</v>
      </c>
      <c r="BW84" s="96"/>
      <c r="BX84" s="96"/>
      <c r="BY84" s="96">
        <f>SUM(BY54:BY83)</f>
        <v>25586.37</v>
      </c>
      <c r="BZ84" s="96">
        <f>SUM(BZ54:BZ83)</f>
        <v>311349.93</v>
      </c>
      <c r="CA84" s="96">
        <f aca="true" t="shared" si="84" ref="CA84:CJ84">SUM(CA54:CA83)</f>
        <v>119.99000000000001</v>
      </c>
      <c r="CB84" s="96">
        <f t="shared" si="84"/>
        <v>-3877.1800000000003</v>
      </c>
      <c r="CC84" s="96">
        <f t="shared" si="84"/>
        <v>9510.6</v>
      </c>
      <c r="CD84" s="96">
        <f t="shared" si="84"/>
        <v>31694.129999999997</v>
      </c>
      <c r="CE84" s="96">
        <f t="shared" si="84"/>
        <v>317103.34</v>
      </c>
      <c r="CF84" s="96">
        <f t="shared" si="84"/>
        <v>7022.83999999999</v>
      </c>
      <c r="CG84" s="96">
        <f t="shared" si="84"/>
        <v>377.1599999999725</v>
      </c>
      <c r="CH84" s="96">
        <f t="shared" si="84"/>
        <v>7399.999999999963</v>
      </c>
      <c r="CI84" s="96">
        <f t="shared" si="84"/>
        <v>20867.999999999894</v>
      </c>
      <c r="CJ84" s="96">
        <f t="shared" si="84"/>
        <v>15254.363249474449</v>
      </c>
      <c r="CK84" s="96"/>
      <c r="CL84" s="96"/>
      <c r="CM84" s="96"/>
      <c r="CN84" s="102" t="s">
        <v>28</v>
      </c>
      <c r="CO84" s="96"/>
      <c r="CP84" s="96"/>
      <c r="CQ84" s="96">
        <f>SUM(CQ54:CQ83)</f>
        <v>23934.07</v>
      </c>
      <c r="CR84" s="96">
        <f aca="true" t="shared" si="85" ref="CR84:DB84">SUM(CR54:CR83)</f>
        <v>317500.62</v>
      </c>
      <c r="CS84" s="96">
        <f t="shared" si="85"/>
        <v>119.99000000000001</v>
      </c>
      <c r="CT84" s="96">
        <f t="shared" si="85"/>
        <v>-3877.1800000000003</v>
      </c>
      <c r="CU84" s="96">
        <f t="shared" si="85"/>
        <v>9510.6</v>
      </c>
      <c r="CV84" s="96">
        <f t="shared" si="85"/>
        <v>31694.129999999997</v>
      </c>
      <c r="CW84" s="96">
        <f t="shared" si="85"/>
        <v>323254.03</v>
      </c>
      <c r="CX84" s="96">
        <f t="shared" si="85"/>
        <v>6150.690000000018</v>
      </c>
      <c r="CY84" s="96">
        <f t="shared" si="85"/>
        <v>2649.3100000000045</v>
      </c>
      <c r="CZ84" s="96">
        <f t="shared" si="85"/>
        <v>8800.000000000022</v>
      </c>
      <c r="DA84" s="96">
        <f t="shared" si="85"/>
        <v>24816.00000000006</v>
      </c>
      <c r="DB84" s="96">
        <f t="shared" si="85"/>
        <v>16136.29324947451</v>
      </c>
      <c r="DC84" s="101"/>
      <c r="DD84" s="96"/>
      <c r="DE84" s="108"/>
      <c r="DF84" s="108" t="s">
        <v>28</v>
      </c>
      <c r="DG84" s="108"/>
      <c r="DH84" s="108"/>
      <c r="DI84" s="113">
        <f>SUM(DI54:DI83)</f>
        <v>13889.84</v>
      </c>
      <c r="DJ84" s="113">
        <f aca="true" t="shared" si="86" ref="DJ84:DT84">SUM(DJ54:DJ83)</f>
        <v>322594.7100000001</v>
      </c>
      <c r="DK84" s="113">
        <f t="shared" si="86"/>
        <v>119.99000000000001</v>
      </c>
      <c r="DL84" s="113">
        <f t="shared" si="86"/>
        <v>-3877.1800000000003</v>
      </c>
      <c r="DM84" s="113">
        <f t="shared" si="86"/>
        <v>9510.6</v>
      </c>
      <c r="DN84" s="113">
        <f t="shared" si="86"/>
        <v>31694.129999999997</v>
      </c>
      <c r="DO84" s="113">
        <f t="shared" si="86"/>
        <v>328348.12000000005</v>
      </c>
      <c r="DP84" s="113">
        <f t="shared" si="86"/>
        <v>5094.089999999995</v>
      </c>
      <c r="DQ84" s="113">
        <f t="shared" si="86"/>
        <v>-94.08999999996794</v>
      </c>
      <c r="DR84" s="113">
        <f t="shared" si="86"/>
        <v>5000.000000000027</v>
      </c>
      <c r="DS84" s="113">
        <f t="shared" si="86"/>
        <v>14100.000000000078</v>
      </c>
      <c r="DT84" s="113">
        <f t="shared" si="86"/>
        <v>16346.453249474587</v>
      </c>
      <c r="DU84" s="101"/>
      <c r="DV84" s="96"/>
      <c r="DW84" s="124"/>
      <c r="DX84" s="15" t="s">
        <v>28</v>
      </c>
      <c r="DY84" s="96"/>
      <c r="DZ84" s="96"/>
      <c r="EA84" s="96">
        <f aca="true" t="shared" si="87" ref="EA84:EL84">SUM(EA54:EA83)</f>
        <v>21793.75</v>
      </c>
      <c r="EB84" s="96">
        <f t="shared" si="87"/>
        <v>316974.82</v>
      </c>
      <c r="EC84" s="96">
        <f t="shared" si="87"/>
        <v>119.99000000000001</v>
      </c>
      <c r="ED84" s="96">
        <f t="shared" si="87"/>
        <v>7029.49</v>
      </c>
      <c r="EE84" s="96">
        <f t="shared" si="87"/>
        <v>9510.6</v>
      </c>
      <c r="EF84" s="96">
        <f t="shared" si="87"/>
        <v>31694.129999999997</v>
      </c>
      <c r="EG84" s="96">
        <f t="shared" si="87"/>
        <v>333634.9</v>
      </c>
      <c r="EH84" s="96">
        <f t="shared" si="87"/>
        <v>5286.7800000000025</v>
      </c>
      <c r="EI84" s="96">
        <f t="shared" si="87"/>
        <v>913.2199999999681</v>
      </c>
      <c r="EJ84" s="96">
        <f t="shared" si="87"/>
        <v>6199.999999999974</v>
      </c>
      <c r="EK84" s="96">
        <f t="shared" si="87"/>
        <v>17979.999999999916</v>
      </c>
      <c r="EL84" s="96">
        <f t="shared" si="87"/>
        <v>12532.703249474505</v>
      </c>
      <c r="EM84" s="96"/>
      <c r="EN84" s="96"/>
      <c r="EO84" s="96"/>
      <c r="EP84" s="15" t="s">
        <v>28</v>
      </c>
      <c r="EQ84" s="96"/>
      <c r="ER84" s="126"/>
      <c r="ES84" s="96">
        <f>SUM(ES54:ES83)</f>
        <v>24053.08</v>
      </c>
      <c r="ET84" s="96">
        <f aca="true" t="shared" si="88" ref="ET84:EY84">SUM(ET54:ET83)</f>
        <v>330642.93999999994</v>
      </c>
      <c r="EU84" s="96">
        <f t="shared" si="88"/>
        <v>139.6</v>
      </c>
      <c r="EV84" s="96">
        <f t="shared" si="88"/>
        <v>-912.6899999999996</v>
      </c>
      <c r="EW84" s="96">
        <f t="shared" si="88"/>
        <v>9510.6</v>
      </c>
      <c r="EX84" s="96">
        <f t="shared" si="88"/>
        <v>31694.129999999997</v>
      </c>
      <c r="EY84" s="96">
        <f t="shared" si="88"/>
        <v>339380.45000000007</v>
      </c>
      <c r="EZ84" s="96">
        <f>SUM(EZ54:EZ83)</f>
        <v>5745.550000000001</v>
      </c>
      <c r="FA84" s="96">
        <f>SUM(FA54:FA83)</f>
        <v>654.4500000000132</v>
      </c>
      <c r="FB84" s="96">
        <f>SUM(FB54:FB83)</f>
        <v>6400.000000000015</v>
      </c>
      <c r="FC84" s="96">
        <f>SUM(FC54:FC83)</f>
        <v>18560.00000000004</v>
      </c>
      <c r="FD84" s="96">
        <f>EL84-ES84+FC84</f>
        <v>7039.623249474544</v>
      </c>
      <c r="FE84" s="96"/>
      <c r="FF84" s="96"/>
      <c r="FG84" s="96"/>
      <c r="FH84" s="96"/>
      <c r="FI84" s="96"/>
      <c r="FJ84" s="96"/>
      <c r="FK84" s="96">
        <f>SUM(FK54:FK83)</f>
        <v>23382.12</v>
      </c>
      <c r="FL84" s="96">
        <v>335804.31999999995</v>
      </c>
      <c r="FM84" s="96">
        <v>139.6</v>
      </c>
      <c r="FN84" s="96">
        <v>-912.6899999999996</v>
      </c>
      <c r="FO84" s="96">
        <v>9510.6</v>
      </c>
      <c r="FP84" s="96">
        <v>31694.129999999997</v>
      </c>
      <c r="FQ84" s="96">
        <f aca="true" t="shared" si="89" ref="FQ84:FX84">SUM(FQ54:FQ83)</f>
        <v>344541.82999999996</v>
      </c>
      <c r="FR84" s="96">
        <f t="shared" si="89"/>
        <v>5161.379999999982</v>
      </c>
      <c r="FS84" s="96">
        <f t="shared" si="89"/>
        <v>38.61999999999517</v>
      </c>
      <c r="FT84" s="96">
        <f t="shared" si="89"/>
        <v>5199.999999999975</v>
      </c>
      <c r="FU84" s="96">
        <f t="shared" si="89"/>
        <v>15079.999999999935</v>
      </c>
      <c r="FV84" s="96">
        <f t="shared" si="89"/>
        <v>-1145.1430999999948</v>
      </c>
      <c r="FW84" s="96">
        <f t="shared" si="89"/>
        <v>13934.856899999935</v>
      </c>
      <c r="FX84" s="96">
        <f t="shared" si="89"/>
        <v>-2407.639850525513</v>
      </c>
      <c r="FY84" s="96"/>
      <c r="FZ84" s="96"/>
      <c r="GA84" s="137"/>
      <c r="GB84" s="69" t="s">
        <v>28</v>
      </c>
      <c r="GC84" s="137"/>
      <c r="GD84" s="137"/>
      <c r="GE84" s="141">
        <f>SUM(GE54:GE83)</f>
        <v>20054.29</v>
      </c>
      <c r="GF84" s="141">
        <f aca="true" t="shared" si="90" ref="GF84:GR84">SUM(GF54:GF83)</f>
        <v>345303.39</v>
      </c>
      <c r="GG84" s="141">
        <f t="shared" si="90"/>
        <v>139.6</v>
      </c>
      <c r="GH84" s="141">
        <f t="shared" si="90"/>
        <v>-912.6899999999996</v>
      </c>
      <c r="GI84" s="141">
        <f t="shared" si="90"/>
        <v>9510.6</v>
      </c>
      <c r="GJ84" s="141">
        <f t="shared" si="90"/>
        <v>31694.129999999997</v>
      </c>
      <c r="GK84" s="141">
        <f t="shared" si="90"/>
        <v>354040.89999999997</v>
      </c>
      <c r="GL84" s="141">
        <f t="shared" si="90"/>
        <v>9499.070000000014</v>
      </c>
      <c r="GM84" s="141">
        <f t="shared" si="90"/>
        <v>-1099.070000000008</v>
      </c>
      <c r="GN84" s="141">
        <f t="shared" si="90"/>
        <v>8400.000000000011</v>
      </c>
      <c r="GO84" s="141">
        <f t="shared" si="90"/>
        <v>24360.00000000002</v>
      </c>
      <c r="GP84" s="141">
        <f t="shared" si="90"/>
        <v>-3597.000000000002</v>
      </c>
      <c r="GQ84" s="141">
        <f t="shared" si="90"/>
        <v>20763.000000000015</v>
      </c>
      <c r="GR84" s="141">
        <f t="shared" si="90"/>
        <v>-1698.9298505254962</v>
      </c>
      <c r="GS84" s="96"/>
      <c r="GT84" s="96"/>
      <c r="GU84" s="149"/>
      <c r="GV84" s="149" t="s">
        <v>28</v>
      </c>
      <c r="GW84" s="42"/>
      <c r="GX84" s="159"/>
      <c r="GY84" s="159">
        <f aca="true" t="shared" si="91" ref="GY84:HE84">SUM(GY54:GY83)</f>
        <v>16596.92</v>
      </c>
      <c r="GZ84" s="159">
        <f t="shared" si="91"/>
        <v>353174.24000000005</v>
      </c>
      <c r="HA84" s="159">
        <f t="shared" si="91"/>
        <v>139.6</v>
      </c>
      <c r="HB84" s="159">
        <f t="shared" si="91"/>
        <v>-912.6899999999996</v>
      </c>
      <c r="HC84" s="159">
        <f t="shared" si="91"/>
        <v>9510.6</v>
      </c>
      <c r="HD84" s="159">
        <f t="shared" si="91"/>
        <v>31694.129999999997</v>
      </c>
      <c r="HE84" s="159">
        <f t="shared" si="91"/>
        <v>361911.75000000006</v>
      </c>
      <c r="HF84" s="159">
        <f aca="true" t="shared" si="92" ref="HF84:HL84">SUM(HF54:HF83)</f>
        <v>7870.850000000006</v>
      </c>
      <c r="HG84" s="159">
        <f t="shared" si="92"/>
        <v>1929.1500000000306</v>
      </c>
      <c r="HH84" s="159">
        <f t="shared" si="92"/>
        <v>9800.000000000035</v>
      </c>
      <c r="HI84" s="159">
        <f t="shared" si="92"/>
        <v>28420.000000000102</v>
      </c>
      <c r="HJ84" s="159">
        <f t="shared" si="92"/>
        <v>-3597.000000000013</v>
      </c>
      <c r="HK84" s="159">
        <f t="shared" si="92"/>
        <v>24823.000000000087</v>
      </c>
      <c r="HL84" s="159">
        <f t="shared" si="92"/>
        <v>6527.150149474593</v>
      </c>
      <c r="HM84" s="101"/>
      <c r="HN84" s="96"/>
      <c r="HO84" s="96"/>
      <c r="HP84" s="15" t="s">
        <v>28</v>
      </c>
      <c r="HQ84" s="96"/>
      <c r="HR84" s="96"/>
      <c r="HS84" s="96">
        <f>SUM(HS54:HS83)</f>
        <v>33160.79</v>
      </c>
      <c r="HT84" s="96">
        <f aca="true" t="shared" si="93" ref="HT84:IF84">SUM(HT54:HT83)</f>
        <v>364061.27000000014</v>
      </c>
      <c r="HU84" s="96">
        <f t="shared" si="93"/>
        <v>139.6</v>
      </c>
      <c r="HV84" s="96">
        <f t="shared" si="93"/>
        <v>-912.6899999999996</v>
      </c>
      <c r="HW84" s="96">
        <f t="shared" si="93"/>
        <v>9510.6</v>
      </c>
      <c r="HX84" s="96">
        <f t="shared" si="93"/>
        <v>31694.129999999997</v>
      </c>
      <c r="HY84" s="96">
        <f t="shared" si="93"/>
        <v>372798.7800000001</v>
      </c>
      <c r="HZ84" s="96">
        <f t="shared" si="93"/>
        <v>10887.029999999982</v>
      </c>
      <c r="IA84" s="96">
        <f t="shared" si="93"/>
        <v>1306.443599999999</v>
      </c>
      <c r="IB84" s="96">
        <f t="shared" si="93"/>
        <v>12193.473599999983</v>
      </c>
      <c r="IC84" s="96">
        <f t="shared" si="93"/>
        <v>35361.07343999995</v>
      </c>
      <c r="ID84" s="96">
        <f t="shared" si="93"/>
        <v>-3597.0010619782506</v>
      </c>
      <c r="IE84" s="96">
        <f t="shared" si="93"/>
        <v>31764.072378021694</v>
      </c>
      <c r="IF84" s="96">
        <f t="shared" si="93"/>
        <v>5130.43252749629</v>
      </c>
      <c r="IG84" s="96"/>
      <c r="IH84" s="96"/>
    </row>
    <row r="85" spans="2:242" s="53" customFormat="1" ht="19.5" customHeight="1" thickBot="1">
      <c r="B85" s="53" t="s">
        <v>44</v>
      </c>
      <c r="H85" s="53">
        <v>185323.36</v>
      </c>
      <c r="J85" s="53">
        <v>10041.240000000049</v>
      </c>
      <c r="K85" s="53">
        <v>-1441.2399999999907</v>
      </c>
      <c r="L85" s="53">
        <v>8600</v>
      </c>
      <c r="M85" s="53">
        <v>22790.00000000002</v>
      </c>
      <c r="N85" s="53">
        <v>12574.480000000072</v>
      </c>
      <c r="Q85" s="59"/>
      <c r="R85" s="60" t="s">
        <v>44</v>
      </c>
      <c r="S85" s="43"/>
      <c r="T85" s="43">
        <v>44404.79000000009</v>
      </c>
      <c r="U85" s="60"/>
      <c r="V85" s="60"/>
      <c r="W85" s="61"/>
      <c r="X85" s="62"/>
      <c r="Y85" s="62"/>
      <c r="Z85" s="62"/>
      <c r="AA85" s="62"/>
      <c r="AB85" s="62"/>
      <c r="AC85" s="62">
        <f>T37</f>
        <v>287477.07</v>
      </c>
      <c r="AD85" s="43">
        <f>U37</f>
        <v>14893.900000000023</v>
      </c>
      <c r="AE85" s="43">
        <f>V37</f>
        <v>2006.0999999999767</v>
      </c>
      <c r="AF85" s="43">
        <f>AD84:AD85+AE84</f>
        <v>16899.999999999996</v>
      </c>
      <c r="AG85" s="43">
        <f>AF84*2.77</f>
        <v>46812.99999999994</v>
      </c>
      <c r="AH85" s="43">
        <f>T84-W84+AG84</f>
        <v>47439.08000000002</v>
      </c>
      <c r="AI85" s="43"/>
      <c r="AJ85" s="43"/>
      <c r="AK85" s="43"/>
      <c r="AL85" s="43"/>
      <c r="AM85" s="43"/>
      <c r="AN85" s="71"/>
      <c r="AO85" s="71">
        <v>38690.24</v>
      </c>
      <c r="AP85" s="71"/>
      <c r="AQ85" s="71"/>
      <c r="AR85" s="71"/>
      <c r="AS85" s="71"/>
      <c r="AT85" s="71"/>
      <c r="AU85" s="71">
        <f>T39</f>
        <v>299278.88</v>
      </c>
      <c r="AV85" s="71">
        <f>U39</f>
        <v>11801.809999999998</v>
      </c>
      <c r="AW85" s="71">
        <f>V39</f>
        <v>6398.190000000002</v>
      </c>
      <c r="AX85" s="86">
        <f>U10</f>
        <v>18200</v>
      </c>
      <c r="AY85" s="92">
        <f>AX85*2.82</f>
        <v>51324</v>
      </c>
      <c r="AZ85" s="89">
        <f>AH84-AO84+AY85</f>
        <v>60072.84000000003</v>
      </c>
      <c r="BA85" s="71"/>
      <c r="BB85" s="71"/>
      <c r="BC85" s="43"/>
      <c r="BD85" s="43" t="s">
        <v>44</v>
      </c>
      <c r="BE85" s="43"/>
      <c r="BF85" s="43"/>
      <c r="BG85" s="43"/>
      <c r="BH85" s="43"/>
      <c r="BI85" s="43"/>
      <c r="BJ85" s="43"/>
      <c r="BK85" s="43"/>
      <c r="BL85" s="43"/>
      <c r="BM85" s="43">
        <f>T40</f>
        <v>310080.5</v>
      </c>
      <c r="BN85" s="71">
        <f>U40</f>
        <v>10801.619999999995</v>
      </c>
      <c r="BO85" s="71">
        <f>V40</f>
        <v>-3201.6199999999953</v>
      </c>
      <c r="BP85" s="71">
        <f>U11</f>
        <v>7600</v>
      </c>
      <c r="BQ85" s="71">
        <f>BP84*2.82</f>
        <v>21432.00000000001</v>
      </c>
      <c r="BR85" s="71">
        <f>AZ84-BG84+BQ84</f>
        <v>19972.733249474546</v>
      </c>
      <c r="BS85" s="71"/>
      <c r="BT85" s="71"/>
      <c r="BU85" s="71"/>
      <c r="BV85" s="43" t="s">
        <v>44</v>
      </c>
      <c r="BW85" s="71"/>
      <c r="BX85" s="71"/>
      <c r="BY85" s="71"/>
      <c r="BZ85" s="71"/>
      <c r="CA85" s="71"/>
      <c r="CB85" s="71"/>
      <c r="CC85" s="71"/>
      <c r="CD85" s="71"/>
      <c r="CE85" s="71"/>
      <c r="CF85" s="71">
        <f>U41</f>
        <v>7022.840000000026</v>
      </c>
      <c r="CG85" s="71">
        <f>V41</f>
        <v>377.1599999999744</v>
      </c>
      <c r="CH85" s="71">
        <f>U12</f>
        <v>7400</v>
      </c>
      <c r="CI85" s="71">
        <f>CH84*2.82</f>
        <v>20867.999999999894</v>
      </c>
      <c r="CJ85" s="71">
        <f>BR84-BY84+CI84</f>
        <v>15254.363249474449</v>
      </c>
      <c r="CK85" s="71"/>
      <c r="CL85" s="71"/>
      <c r="CM85" s="71"/>
      <c r="CN85" s="142" t="s">
        <v>44</v>
      </c>
      <c r="CO85" s="71"/>
      <c r="CP85" s="71"/>
      <c r="CQ85" s="71"/>
      <c r="CR85" s="71"/>
      <c r="CS85" s="71"/>
      <c r="CT85" s="71"/>
      <c r="CU85" s="71"/>
      <c r="CV85" s="71"/>
      <c r="CW85" s="71">
        <f>T42</f>
        <v>323254.03</v>
      </c>
      <c r="CX85" s="71">
        <f>CW84-CE84</f>
        <v>6150.690000000002</v>
      </c>
      <c r="CY85" s="71">
        <f>V42</f>
        <v>2649.3099999999977</v>
      </c>
      <c r="CZ85" s="71">
        <f>U13</f>
        <v>8800</v>
      </c>
      <c r="DA85" s="71">
        <f>CZ84*2.82</f>
        <v>24816.000000000062</v>
      </c>
      <c r="DB85" s="71">
        <f>CJ84-CQ84+DA84</f>
        <v>16136.293249474507</v>
      </c>
      <c r="DC85" s="143"/>
      <c r="DD85" s="71"/>
      <c r="DE85" s="43"/>
      <c r="DF85" s="43" t="s">
        <v>44</v>
      </c>
      <c r="DG85" s="43"/>
      <c r="DH85" s="43"/>
      <c r="DI85" s="43"/>
      <c r="DJ85" s="43"/>
      <c r="DK85" s="43"/>
      <c r="DL85" s="43"/>
      <c r="DM85" s="43"/>
      <c r="DN85" s="43"/>
      <c r="DO85" s="43">
        <f>T43</f>
        <v>328348.12</v>
      </c>
      <c r="DP85" s="71">
        <f>DO84-CW84</f>
        <v>5094.090000000026</v>
      </c>
      <c r="DQ85" s="71">
        <f>V43</f>
        <v>-94.0899999999674</v>
      </c>
      <c r="DR85" s="71">
        <f>U14</f>
        <v>5000</v>
      </c>
      <c r="DS85" s="71">
        <f>DR84*2.82</f>
        <v>14100.000000000076</v>
      </c>
      <c r="DT85" s="144">
        <f>DB84-DI84+DS84</f>
        <v>16346.453249474587</v>
      </c>
      <c r="DU85" s="145"/>
      <c r="DV85" s="144"/>
      <c r="DW85" s="146"/>
      <c r="DX85" s="43" t="s">
        <v>44</v>
      </c>
      <c r="DY85" s="71"/>
      <c r="DZ85" s="71"/>
      <c r="EA85" s="71"/>
      <c r="EB85" s="71"/>
      <c r="EC85" s="71"/>
      <c r="ED85" s="71"/>
      <c r="EE85" s="71"/>
      <c r="EF85" s="71"/>
      <c r="EG85" s="71">
        <f>T44</f>
        <v>333634.9</v>
      </c>
      <c r="EH85" s="71">
        <f>U44</f>
        <v>5286.780000000028</v>
      </c>
      <c r="EI85" s="71">
        <f>V44</f>
        <v>913.2199999999721</v>
      </c>
      <c r="EJ85" s="71">
        <f>U15</f>
        <v>6200</v>
      </c>
      <c r="EK85" s="71">
        <f>EJ84*2.9</f>
        <v>17979.999999999924</v>
      </c>
      <c r="EL85" s="71">
        <f>DT84-EA84+EK84</f>
        <v>12532.703249474504</v>
      </c>
      <c r="EM85" s="71"/>
      <c r="EN85" s="71"/>
      <c r="EO85" s="71"/>
      <c r="EP85" s="43" t="s">
        <v>44</v>
      </c>
      <c r="EQ85" s="71"/>
      <c r="ER85" s="147"/>
      <c r="ES85" s="71">
        <v>24053.08</v>
      </c>
      <c r="ET85" s="71"/>
      <c r="EU85" s="71"/>
      <c r="EV85" s="71"/>
      <c r="EW85" s="71"/>
      <c r="EX85" s="71"/>
      <c r="EY85" s="71">
        <f>T45</f>
        <v>339380.45</v>
      </c>
      <c r="EZ85" s="71">
        <f>U45</f>
        <v>5745.549999999988</v>
      </c>
      <c r="FA85" s="71">
        <f>V45</f>
        <v>654.4500000000116</v>
      </c>
      <c r="FB85" s="71">
        <f>U16</f>
        <v>6400</v>
      </c>
      <c r="FC85" s="71">
        <f>FB84*2.9</f>
        <v>18560.00000000004</v>
      </c>
      <c r="FD85" s="71">
        <f>EL84-ES84+FC84</f>
        <v>7039.623249474544</v>
      </c>
      <c r="FE85" s="71"/>
      <c r="FF85" s="71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>
        <f>T46</f>
        <v>344541.83</v>
      </c>
      <c r="FR85" s="71">
        <f>U46</f>
        <v>5161.380000000005</v>
      </c>
      <c r="FS85" s="71">
        <f>V46</f>
        <v>38.61999999999534</v>
      </c>
      <c r="FT85" s="71">
        <f>U17</f>
        <v>5200</v>
      </c>
      <c r="FU85" s="71">
        <f>FT84*2.9</f>
        <v>15079.999999999929</v>
      </c>
      <c r="FV85" s="71">
        <f>AB5</f>
        <v>-1145.1431</v>
      </c>
      <c r="FW85" s="71">
        <f>FU84+FV84</f>
        <v>13934.85689999994</v>
      </c>
      <c r="FX85" s="71">
        <f>FD84-FK84+FW84</f>
        <v>-2407.63985052552</v>
      </c>
      <c r="FY85" s="71"/>
      <c r="FZ85" s="71"/>
      <c r="GA85" s="43"/>
      <c r="GB85" s="43" t="s">
        <v>44</v>
      </c>
      <c r="GC85" s="43"/>
      <c r="GD85" s="43"/>
      <c r="GE85" s="43"/>
      <c r="GF85" s="43"/>
      <c r="GG85" s="43"/>
      <c r="GH85" s="43"/>
      <c r="GI85" s="43"/>
      <c r="GJ85" s="43"/>
      <c r="GK85" s="43">
        <f>T47</f>
        <v>354040.9</v>
      </c>
      <c r="GL85" s="71">
        <f>U47</f>
        <v>9499.070000000007</v>
      </c>
      <c r="GM85" s="71">
        <f>V47</f>
        <v>-1099.070000000007</v>
      </c>
      <c r="GN85" s="71">
        <f>U18</f>
        <v>8400</v>
      </c>
      <c r="GO85" s="71">
        <f>GN84*2.9</f>
        <v>24360.00000000003</v>
      </c>
      <c r="GP85" s="71">
        <f>AF5</f>
        <v>-3596.9999999999995</v>
      </c>
      <c r="GQ85" s="71">
        <f>GO84+GP84</f>
        <v>20763.000000000015</v>
      </c>
      <c r="GR85" s="71">
        <f>FX84-GE84+GQ84</f>
        <v>-1698.9298505254992</v>
      </c>
      <c r="GS85" s="71"/>
      <c r="GT85" s="71"/>
      <c r="GU85" s="150"/>
      <c r="GV85" s="150" t="s">
        <v>44</v>
      </c>
      <c r="GW85" s="43"/>
      <c r="GX85" s="43"/>
      <c r="GY85" s="43"/>
      <c r="GZ85" s="43"/>
      <c r="HA85" s="160"/>
      <c r="HB85" s="160"/>
      <c r="HC85" s="160"/>
      <c r="HD85" s="160"/>
      <c r="HE85" s="160">
        <f>T48</f>
        <v>361911.75</v>
      </c>
      <c r="HF85" s="43">
        <f>U48</f>
        <v>7870.849999999977</v>
      </c>
      <c r="HG85" s="43">
        <f>V48</f>
        <v>1929.1500000000233</v>
      </c>
      <c r="HH85" s="43">
        <f>U19</f>
        <v>9800</v>
      </c>
      <c r="HI85" s="43">
        <f>HH84*2.9</f>
        <v>28420.0000000001</v>
      </c>
      <c r="HJ85" s="43">
        <f>AJ5</f>
        <v>-3596.9999999999995</v>
      </c>
      <c r="HK85" s="43">
        <f>AJ6</f>
        <v>24823</v>
      </c>
      <c r="HL85" s="43">
        <f>GR84-GY84+HK84</f>
        <v>6527.1501494745935</v>
      </c>
      <c r="HM85" s="143"/>
      <c r="HN85" s="71"/>
      <c r="HO85" s="71"/>
      <c r="HP85" s="43" t="s">
        <v>44</v>
      </c>
      <c r="HQ85" s="71"/>
      <c r="HR85" s="71"/>
      <c r="HS85" s="71"/>
      <c r="HT85" s="71"/>
      <c r="HU85" s="71"/>
      <c r="HV85" s="71"/>
      <c r="HW85" s="71"/>
      <c r="HX85" s="71"/>
      <c r="HY85" s="71"/>
      <c r="HZ85" s="71">
        <f>U50</f>
        <v>10887.030000000028</v>
      </c>
      <c r="IA85" s="71">
        <f>V50</f>
        <v>1306.4436000000042</v>
      </c>
      <c r="IB85" s="71">
        <f>HZ84+IA84</f>
        <v>12193.473599999981</v>
      </c>
      <c r="IC85" s="71">
        <f>IB84*2.9</f>
        <v>35361.07343999995</v>
      </c>
      <c r="ID85" s="71">
        <f>AN5</f>
        <v>-3596.9999999999995</v>
      </c>
      <c r="IE85" s="71">
        <f>IC84+ID84</f>
        <v>31764.072378021698</v>
      </c>
      <c r="IF85" s="71">
        <f>HL84-HS84+IE84</f>
        <v>5130.432527496287</v>
      </c>
      <c r="IG85" s="71"/>
      <c r="IH85" s="71"/>
    </row>
    <row r="86" spans="1:242" ht="76.5" customHeight="1">
      <c r="A86" s="6" t="s">
        <v>0</v>
      </c>
      <c r="B86" s="6" t="s">
        <v>1</v>
      </c>
      <c r="C86" s="6" t="s">
        <v>34</v>
      </c>
      <c r="D86" s="6" t="s">
        <v>2</v>
      </c>
      <c r="E86" s="6" t="s">
        <v>91</v>
      </c>
      <c r="F86" s="6" t="s">
        <v>3</v>
      </c>
      <c r="G86" s="6" t="s">
        <v>43</v>
      </c>
      <c r="H86" s="6" t="s">
        <v>45</v>
      </c>
      <c r="I86" s="6" t="s">
        <v>4</v>
      </c>
      <c r="J86" s="6" t="s">
        <v>25</v>
      </c>
      <c r="K86" s="6" t="s">
        <v>24</v>
      </c>
      <c r="L86" s="6" t="s">
        <v>26</v>
      </c>
      <c r="M86" s="6" t="s">
        <v>82</v>
      </c>
      <c r="N86" s="6" t="s">
        <v>89</v>
      </c>
      <c r="O86" s="6" t="s">
        <v>77</v>
      </c>
      <c r="P86" s="6" t="s">
        <v>80</v>
      </c>
      <c r="Q86" s="7" t="str">
        <f>Q53</f>
        <v>#</v>
      </c>
      <c r="R86" s="7" t="str">
        <f aca="true" t="shared" si="94" ref="R86:CC86">R53</f>
        <v>Наименование_Точки_Учета</v>
      </c>
      <c r="S86" s="7" t="str">
        <f t="shared" si="94"/>
        <v>Показания счетчиков в расчет за декабрь 2018</v>
      </c>
      <c r="T86" s="7" t="str">
        <f t="shared" si="94"/>
        <v>Переплата (-)
Долг(+) 
на 01.01.2019</v>
      </c>
      <c r="U86" s="7" t="str">
        <f t="shared" si="94"/>
        <v>Серийный_№</v>
      </c>
      <c r="V86" s="7" t="str">
        <f t="shared" si="94"/>
        <v>дата</v>
      </c>
      <c r="W86" s="7" t="str">
        <f t="shared" si="94"/>
        <v>Оплачено в январе 2019</v>
      </c>
      <c r="X86" s="7" t="str">
        <f t="shared" si="94"/>
        <v>СуммАктЭн</v>
      </c>
      <c r="Y86" s="7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Z86" s="7" t="str">
        <f t="shared" si="94"/>
        <v>Корректировка показаний 
ПУ за текущий год
(показания ст.ПУ минус показания нов.ПУ )</v>
      </c>
      <c r="AA86" s="7" t="str">
        <f t="shared" si="94"/>
        <v>Корректировка показаний ПУ за 2018 год
</v>
      </c>
      <c r="AB86" s="7" t="str">
        <f t="shared" si="94"/>
        <v>Корректировка показаний ПУ за прошлые периоды
(включено в сальдо показаний на начало года)</v>
      </c>
      <c r="AC86" s="7" t="str">
        <f t="shared" si="94"/>
        <v>Показания счетчиков в расчет</v>
      </c>
      <c r="AD86" s="7" t="str">
        <f t="shared" si="94"/>
        <v>Потребление, кВт</v>
      </c>
      <c r="AE86" s="7" t="str">
        <f t="shared" si="94"/>
        <v>Потери, кВт</v>
      </c>
      <c r="AF86" s="7" t="str">
        <f t="shared" si="94"/>
        <v>Потребление+ потери, кВт</v>
      </c>
      <c r="AG86" s="7" t="str">
        <f t="shared" si="94"/>
        <v>Сумма, руб. тариф 2,77руб./кВт</v>
      </c>
      <c r="AH86" s="7" t="str">
        <f t="shared" si="94"/>
        <v>Переплата (-)
Долг(+) 
на 01.02.2019</v>
      </c>
      <c r="AI86" s="7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AJ86" s="7" t="str">
        <f t="shared" si="94"/>
        <v>Вид начисления</v>
      </c>
      <c r="AK86" s="7" t="str">
        <f t="shared" si="94"/>
        <v>#</v>
      </c>
      <c r="AL86" s="7" t="str">
        <f t="shared" si="94"/>
        <v>Наименование_Точки_Учета</v>
      </c>
      <c r="AM86" s="7" t="str">
        <f t="shared" si="94"/>
        <v>Серийный_№</v>
      </c>
      <c r="AN86" s="7" t="str">
        <f t="shared" si="94"/>
        <v>дата</v>
      </c>
      <c r="AO86" s="7" t="str">
        <f t="shared" si="94"/>
        <v>Оплачено в феврале 2019</v>
      </c>
      <c r="AP86" s="7" t="str">
        <f t="shared" si="94"/>
        <v>СуммАктЭн</v>
      </c>
      <c r="AQ86" s="7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6" s="7" t="str">
        <f t="shared" si="94"/>
        <v>Корректировка показаний 
ПУ за текущий год
(показания ст.ПУ минус показания нов.ПУ )</v>
      </c>
      <c r="AS86" s="7" t="str">
        <f t="shared" si="94"/>
        <v>Корректировка показаний ПУ за 2018 год
</v>
      </c>
      <c r="AT86" s="7" t="str">
        <f t="shared" si="94"/>
        <v>Корректировка показаний ПУ за прошлые периоды
(включено в сальдо показаний на начало года)</v>
      </c>
      <c r="AU86" s="7" t="str">
        <f t="shared" si="94"/>
        <v>Показания счетчиков в расчет</v>
      </c>
      <c r="AV86" s="7" t="str">
        <f t="shared" si="94"/>
        <v>Потребление, кВт</v>
      </c>
      <c r="AW86" s="7" t="str">
        <f t="shared" si="94"/>
        <v>Потери, кВт</v>
      </c>
      <c r="AX86" s="7" t="str">
        <f t="shared" si="94"/>
        <v>Потребление+ потери, кВт</v>
      </c>
      <c r="AY86" s="114" t="str">
        <f t="shared" si="94"/>
        <v>Сумма, руб. тариф 2,82руб./кВт</v>
      </c>
      <c r="AZ86" s="7" t="str">
        <f t="shared" si="94"/>
        <v>Переплата (-)
Долг(+) 
на 01.03.2019</v>
      </c>
      <c r="BA86" s="7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BB86" s="7" t="str">
        <f t="shared" si="94"/>
        <v>Вид начисления</v>
      </c>
      <c r="BC86" s="7" t="str">
        <f t="shared" si="94"/>
        <v>#</v>
      </c>
      <c r="BD86" s="7" t="str">
        <f t="shared" si="94"/>
        <v>Наименование_Точки_Учета</v>
      </c>
      <c r="BE86" s="7" t="str">
        <f t="shared" si="94"/>
        <v>Серийный_№</v>
      </c>
      <c r="BF86" s="7" t="str">
        <f t="shared" si="94"/>
        <v>дата</v>
      </c>
      <c r="BG86" s="7" t="str">
        <f t="shared" si="94"/>
        <v>Оплачено в марте 2019</v>
      </c>
      <c r="BH86" s="7" t="str">
        <f t="shared" si="94"/>
        <v>СуммАктЭн</v>
      </c>
      <c r="BI86" s="7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J86" s="7" t="str">
        <f t="shared" si="94"/>
        <v>Корректировка показаний 
ПУ за текущий год
(показания ст.ПУ минус показания нов.ПУ на дату монтажа )</v>
      </c>
      <c r="BK86" s="7" t="str">
        <f t="shared" si="94"/>
        <v>Корректировка показаний ПУ за прошлый год
(не включено в сальдо показаний на начало года)</v>
      </c>
      <c r="BL86" s="7" t="str">
        <f t="shared" si="94"/>
        <v>Корректировка показаний ПУ за прошлые периоды
(включено в сальдо показаний на начало года)</v>
      </c>
      <c r="BM86" s="7" t="str">
        <f t="shared" si="94"/>
        <v>Показания счетчиков в расчет</v>
      </c>
      <c r="BN86" s="7" t="str">
        <f t="shared" si="94"/>
        <v>Потребление, кВт</v>
      </c>
      <c r="BO86" s="7" t="str">
        <f t="shared" si="94"/>
        <v>Потери, кВт</v>
      </c>
      <c r="BP86" s="7" t="str">
        <f t="shared" si="94"/>
        <v>Потребление+ потери, кВт</v>
      </c>
      <c r="BQ86" s="7" t="str">
        <f t="shared" si="94"/>
        <v>Сумма, руб. тариф 2,82руб./кВт</v>
      </c>
      <c r="BR86" s="7" t="str">
        <f t="shared" si="94"/>
        <v>Переплата (-)
Долг(+) 
на 01.04.2019</v>
      </c>
      <c r="BS86" s="7" t="str">
        <f t="shared" si="94"/>
        <v>Способ получения показаний:
1=Показания ПУ
2=Показания ПУ с уч.показаний ст.ПУ
РО=расчет.объем показаний
0=Демонтаж счетчика</v>
      </c>
      <c r="BT86" s="7" t="str">
        <f t="shared" si="94"/>
        <v>Вид начисления</v>
      </c>
      <c r="BU86" s="7" t="str">
        <f t="shared" si="94"/>
        <v>#</v>
      </c>
      <c r="BV86" s="7" t="str">
        <f t="shared" si="94"/>
        <v>Наименование_Точки_Учета</v>
      </c>
      <c r="BW86" s="7" t="str">
        <f t="shared" si="94"/>
        <v>Серийный_№</v>
      </c>
      <c r="BX86" s="7" t="str">
        <f t="shared" si="94"/>
        <v>дата</v>
      </c>
      <c r="BY86" s="7" t="str">
        <f t="shared" si="94"/>
        <v>Оплачено в апреле 2019 г.</v>
      </c>
      <c r="BZ86" s="7" t="str">
        <f t="shared" si="94"/>
        <v>СуммАктЭн</v>
      </c>
      <c r="CA86" s="7" t="str">
        <f t="shared" si="94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B86" s="7" t="str">
        <f t="shared" si="94"/>
        <v>Корректировка показаний 
ПУ за текущий год
(показания ст.ПУ минус показания нов.ПУ на дату монтажа )</v>
      </c>
      <c r="CC86" s="7" t="str">
        <f t="shared" si="94"/>
        <v>Корректировка показаний ПУ за прошлый год
(не включено в сальдо показаний на начало года)</v>
      </c>
      <c r="CD86" s="7" t="str">
        <f aca="true" t="shared" si="95" ref="CD86:EO86">CD53</f>
        <v>Корректировка показаний ПУ за прошлые периоды
(включено в сальдо показаний на начало года)</v>
      </c>
      <c r="CE86" s="7" t="str">
        <f t="shared" si="95"/>
        <v>Показания счетчиков в расчет</v>
      </c>
      <c r="CF86" s="7" t="str">
        <f t="shared" si="95"/>
        <v>Потребление, кВт</v>
      </c>
      <c r="CG86" s="7" t="str">
        <f t="shared" si="95"/>
        <v>Потери, кВт</v>
      </c>
      <c r="CH86" s="7" t="str">
        <f t="shared" si="95"/>
        <v>Потребление+ потери, кВт</v>
      </c>
      <c r="CI86" s="7" t="str">
        <f t="shared" si="95"/>
        <v>Сумма, руб. тариф 2,82руб./кВт</v>
      </c>
      <c r="CJ86" s="7" t="str">
        <f t="shared" si="95"/>
        <v>Переплата (-)
Долг(+) 
на 01.05.2019</v>
      </c>
      <c r="CK86" s="7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CL86" s="7" t="str">
        <f t="shared" si="95"/>
        <v>Вид начисления</v>
      </c>
      <c r="CM86" s="7" t="str">
        <f t="shared" si="95"/>
        <v>#</v>
      </c>
      <c r="CN86" s="7" t="str">
        <f t="shared" si="95"/>
        <v>Наименование_Точки_Учета</v>
      </c>
      <c r="CO86" s="7" t="str">
        <f t="shared" si="95"/>
        <v>Серийный_№</v>
      </c>
      <c r="CP86" s="7" t="str">
        <f t="shared" si="95"/>
        <v>дата</v>
      </c>
      <c r="CQ86" s="7" t="str">
        <f t="shared" si="95"/>
        <v>Оплачено в мае 2019</v>
      </c>
      <c r="CR86" s="7" t="str">
        <f t="shared" si="95"/>
        <v>СуммАктЭн</v>
      </c>
      <c r="CS86" s="7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CT86" s="7" t="str">
        <f t="shared" si="95"/>
        <v>Корректировка показаний 
ПУ за текущий год
(показания ст.ПУ минус показания нов.ПУ на дату монтажа )</v>
      </c>
      <c r="CU86" s="7" t="str">
        <f t="shared" si="95"/>
        <v>Корректировка показаний ПУ за прошлый год
(не включено в сальдо показаний на начало года)</v>
      </c>
      <c r="CV86" s="7" t="str">
        <f t="shared" si="95"/>
        <v>Корректировка показаний ПУ за прошлые периоды
(включено в сальдо показаний на начало года)</v>
      </c>
      <c r="CW86" s="7" t="str">
        <f t="shared" si="95"/>
        <v>Показания счетчиков в расчет</v>
      </c>
      <c r="CX86" s="7" t="str">
        <f t="shared" si="95"/>
        <v>Потребление, кВт</v>
      </c>
      <c r="CY86" s="7" t="str">
        <f t="shared" si="95"/>
        <v>Потери, кВт</v>
      </c>
      <c r="CZ86" s="7" t="str">
        <f t="shared" si="95"/>
        <v>Потребление+ потери, кВт</v>
      </c>
      <c r="DA86" s="7" t="str">
        <f t="shared" si="95"/>
        <v>Сумма, руб. тариф 2,82руб./кВт</v>
      </c>
      <c r="DB86" s="7" t="str">
        <f t="shared" si="95"/>
        <v>Переплата (-)
Долг(+) 
на 01.06.2019</v>
      </c>
      <c r="DC86" s="7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DD86" s="7" t="str">
        <f t="shared" si="95"/>
        <v>Вид начисления</v>
      </c>
      <c r="DE86" s="7" t="str">
        <f t="shared" si="95"/>
        <v>#</v>
      </c>
      <c r="DF86" s="7" t="str">
        <f t="shared" si="95"/>
        <v>Наименование_Точки_Учета</v>
      </c>
      <c r="DG86" s="7" t="str">
        <f t="shared" si="95"/>
        <v>Серийный_№</v>
      </c>
      <c r="DH86" s="7" t="str">
        <f t="shared" si="95"/>
        <v>дата</v>
      </c>
      <c r="DI86" s="7" t="str">
        <f t="shared" si="95"/>
        <v>оплачено в июне 2019</v>
      </c>
      <c r="DJ86" s="7" t="str">
        <f t="shared" si="95"/>
        <v>СуммАктЭн</v>
      </c>
      <c r="DK86" s="7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DL86" s="7" t="str">
        <f t="shared" si="95"/>
        <v>Корректировка показаний 
ПУ за текущий год
(показания ст.ПУ минус показания нов.ПУ на дату монтажа )</v>
      </c>
      <c r="DM86" s="7" t="str">
        <f t="shared" si="95"/>
        <v>Корректировка показаний ПУ за прошлый год
(не включено в сальдо показаний на начало года)</v>
      </c>
      <c r="DN86" s="7" t="str">
        <f t="shared" si="95"/>
        <v>Корректировка показаний ПУ за прошлые периоды
(включено в сальдо показаний на начало года)</v>
      </c>
      <c r="DO86" s="7" t="str">
        <f t="shared" si="95"/>
        <v>Показания счетчиков в расчет</v>
      </c>
      <c r="DP86" s="7" t="str">
        <f t="shared" si="95"/>
        <v>Потребление, кВт</v>
      </c>
      <c r="DQ86" s="7" t="str">
        <f t="shared" si="95"/>
        <v>Потери, кВт</v>
      </c>
      <c r="DR86" s="7" t="str">
        <f t="shared" si="95"/>
        <v>Потребление+ потери, кВт</v>
      </c>
      <c r="DS86" s="7" t="str">
        <f t="shared" si="95"/>
        <v>Сумма, руб. тариф 2,82руб./кВт</v>
      </c>
      <c r="DT86" s="36" t="str">
        <f t="shared" si="95"/>
        <v>Переплата (-)
Долг(+) 
на 01.07.2019</v>
      </c>
      <c r="DU86" s="36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DV86" s="7" t="str">
        <f t="shared" si="95"/>
        <v>Вид начисления</v>
      </c>
      <c r="DW86" s="36" t="str">
        <f t="shared" si="95"/>
        <v>#</v>
      </c>
      <c r="DX86" s="36" t="str">
        <f t="shared" si="95"/>
        <v>Наименование_Точки_Учета</v>
      </c>
      <c r="DY86" s="36" t="str">
        <f t="shared" si="95"/>
        <v>Серийный_№</v>
      </c>
      <c r="DZ86" s="36" t="str">
        <f t="shared" si="95"/>
        <v>дата</v>
      </c>
      <c r="EA86" s="36" t="str">
        <f t="shared" si="95"/>
        <v>оплачено в июле 2019</v>
      </c>
      <c r="EB86" s="36" t="str">
        <f t="shared" si="95"/>
        <v>СуммАктЭн</v>
      </c>
      <c r="EC86" s="36" t="str">
        <f t="shared" si="95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D86" s="36" t="str">
        <f t="shared" si="95"/>
        <v>Корректировка показаний 
ПУ за текущий год
(показания ст.ПУ минус показания нов.ПУ на дату монтажа )</v>
      </c>
      <c r="EE86" s="36" t="str">
        <f t="shared" si="95"/>
        <v>Корректировка показаний ПУ за прошлый год
(не включено в сальдо показаний на начало года)</v>
      </c>
      <c r="EF86" s="36" t="str">
        <f t="shared" si="95"/>
        <v>Корректировка показаний ПУ за прошлые периоды
(включено в сальдо показаний на начало года)</v>
      </c>
      <c r="EG86" s="36" t="str">
        <f t="shared" si="95"/>
        <v>Показания счетчиков в расчет</v>
      </c>
      <c r="EH86" s="36" t="str">
        <f t="shared" si="95"/>
        <v>Потребление, кВт</v>
      </c>
      <c r="EI86" s="36" t="str">
        <f t="shared" si="95"/>
        <v>Потери, кВт</v>
      </c>
      <c r="EJ86" s="36" t="str">
        <f t="shared" si="95"/>
        <v>Потребление+ потери, кВт</v>
      </c>
      <c r="EK86" s="36" t="str">
        <f t="shared" si="95"/>
        <v>Сумма, руб. тариф 2,90руб./кВт</v>
      </c>
      <c r="EL86" s="36" t="str">
        <f t="shared" si="95"/>
        <v>Переплата (-)
Долг(+) 
на 01.08.2019</v>
      </c>
      <c r="EM86" s="36" t="str">
        <f t="shared" si="95"/>
        <v>Способ получения показаний:
1=Показания ПУ
2=Показания ПУ с уч.показаний ст.ПУ
РО=расчет.объем показаний
0=Демонтаж счетчика</v>
      </c>
      <c r="EN86" s="36" t="str">
        <f t="shared" si="95"/>
        <v>Вид начисления</v>
      </c>
      <c r="EO86" s="36" t="str">
        <f t="shared" si="95"/>
        <v>#</v>
      </c>
      <c r="EP86" s="36" t="str">
        <f aca="true" t="shared" si="96" ref="EP86:HA86">EP53</f>
        <v>Наименование_Точки_Учета</v>
      </c>
      <c r="EQ86" s="36" t="str">
        <f t="shared" si="96"/>
        <v>Серийный_№</v>
      </c>
      <c r="ER86" s="36" t="str">
        <f t="shared" si="96"/>
        <v>дата</v>
      </c>
      <c r="ES86" s="36" t="str">
        <f t="shared" si="96"/>
        <v>оплачено в августе 2019</v>
      </c>
      <c r="ET86" s="36" t="str">
        <f t="shared" si="96"/>
        <v>СуммАктЭн</v>
      </c>
      <c r="EU86" s="36" t="str">
        <f t="shared" si="9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EV86" s="36" t="str">
        <f t="shared" si="96"/>
        <v>Корректировка показаний 
ПУ за текущий год
(показания ст.ПУ минус показания нов.ПУ на дату монтажа )</v>
      </c>
      <c r="EW86" s="36" t="str">
        <f t="shared" si="96"/>
        <v>Корректировка показаний ПУ за прошлый год
(не включено в сальдо показаний на начало года)</v>
      </c>
      <c r="EX86" s="36" t="str">
        <f t="shared" si="96"/>
        <v>Корректировка показаний ПУ за прошлые периоды
(включено в сальдо показаний на начало года)</v>
      </c>
      <c r="EY86" s="36" t="str">
        <f t="shared" si="96"/>
        <v>Показания счетчиков в расчет</v>
      </c>
      <c r="EZ86" s="36" t="str">
        <f t="shared" si="96"/>
        <v>Потребление, кВт</v>
      </c>
      <c r="FA86" s="36" t="str">
        <f t="shared" si="96"/>
        <v>Потери, кВт</v>
      </c>
      <c r="FB86" s="36" t="str">
        <f t="shared" si="96"/>
        <v>Потребление+ потери, кВт</v>
      </c>
      <c r="FC86" s="36" t="str">
        <f t="shared" si="96"/>
        <v>Сумма, руб. тариф 2,90руб./кВт</v>
      </c>
      <c r="FD86" s="36" t="str">
        <f t="shared" si="96"/>
        <v>Переплата (-)
Долг(+) 
на 01.09.2019</v>
      </c>
      <c r="FE86" s="36" t="str">
        <f t="shared" si="96"/>
        <v>Способ получения показаний:
1=Показания ПУ
2=Показания ПУ с уч.показаний ст.ПУ
РО=расчет.объем показаний
0=Демонтаж счетчика</v>
      </c>
      <c r="FF86" s="36" t="str">
        <f t="shared" si="96"/>
        <v>Вид начисления</v>
      </c>
      <c r="FG86" s="36" t="str">
        <f t="shared" si="96"/>
        <v>#</v>
      </c>
      <c r="FH86" s="36" t="str">
        <f t="shared" si="96"/>
        <v>Наименование_Точки_Учета</v>
      </c>
      <c r="FI86" s="36" t="str">
        <f t="shared" si="96"/>
        <v>Серийный_№</v>
      </c>
      <c r="FJ86" s="36" t="str">
        <f t="shared" si="96"/>
        <v>дата</v>
      </c>
      <c r="FK86" s="36"/>
      <c r="FL86" s="36" t="str">
        <f t="shared" si="96"/>
        <v>СуммАктЭн</v>
      </c>
      <c r="FM86" s="36" t="str">
        <f t="shared" si="9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FN86" s="36" t="str">
        <f t="shared" si="96"/>
        <v>Корректировка показаний 
ПУ за текущий год
(показания ст.ПУ минус показания нов.ПУ на дату монтажа )</v>
      </c>
      <c r="FO86" s="36" t="str">
        <f t="shared" si="96"/>
        <v>Корректировка показаний ПУ за прошлый год
(не включено в сальдо показаний на начало года)</v>
      </c>
      <c r="FP86" s="36" t="str">
        <f t="shared" si="96"/>
        <v>Корректировка показаний ПУ за прошлые периоды
(включено в сальдо показаний на начало года)</v>
      </c>
      <c r="FQ86" s="36" t="str">
        <f t="shared" si="96"/>
        <v>Показания счетчиков в расчет</v>
      </c>
      <c r="FR86" s="36" t="str">
        <f t="shared" si="96"/>
        <v>Потребление, кВт</v>
      </c>
      <c r="FS86" s="36" t="str">
        <f t="shared" si="96"/>
        <v>Потери, кВт</v>
      </c>
      <c r="FT86" s="36" t="str">
        <f t="shared" si="96"/>
        <v>Потребление+ потери, кВт</v>
      </c>
      <c r="FU86" s="36" t="str">
        <f t="shared" si="96"/>
        <v>Сумма к оплате, руб. тариф 2,90руб./кВт</v>
      </c>
      <c r="FV86" s="36" t="str">
        <f t="shared" si="96"/>
        <v>к возмещению от п2п3п4п5п6, руб.</v>
      </c>
      <c r="FW86" s="36" t="str">
        <f t="shared" si="96"/>
        <v>Сумаа к оплате садоводом с учетом возмещения, руб.</v>
      </c>
      <c r="FX86" s="36" t="str">
        <f t="shared" si="96"/>
        <v>Переплата (-)
Долг(+) 
на 01.10.2019</v>
      </c>
      <c r="FY86" s="36" t="str">
        <f t="shared" si="96"/>
        <v>Способ получения показаний:
1=Показания ПУ
2=Показания ПУ с уч.показаний ст.ПУ
РО=расчет.объем показаний
0=Демонтаж счетчика</v>
      </c>
      <c r="FZ86" s="36" t="str">
        <f t="shared" si="96"/>
        <v>Вид начисления</v>
      </c>
      <c r="GA86" s="36" t="str">
        <f t="shared" si="96"/>
        <v>#</v>
      </c>
      <c r="GB86" s="36" t="str">
        <f t="shared" si="96"/>
        <v>Наименование_Точки_Учета</v>
      </c>
      <c r="GC86" s="36" t="str">
        <f t="shared" si="96"/>
        <v>Серийный_№</v>
      </c>
      <c r="GD86" s="36" t="str">
        <f t="shared" si="96"/>
        <v>дата</v>
      </c>
      <c r="GE86" s="36"/>
      <c r="GF86" s="36" t="str">
        <f t="shared" si="96"/>
        <v>СуммАктЭн</v>
      </c>
      <c r="GG86" s="36" t="str">
        <f t="shared" si="9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GH86" s="36" t="str">
        <f t="shared" si="96"/>
        <v>Корректировка показаний 
ПУ за текущий год
(показания ст.ПУ минус показания нов.ПУ на дату монтажа )</v>
      </c>
      <c r="GI86" s="36" t="str">
        <f t="shared" si="96"/>
        <v>Корректировка показаний ПУ за прошлый год
(не включено в сальдо показаний на начало года)</v>
      </c>
      <c r="GJ86" s="36" t="str">
        <f t="shared" si="96"/>
        <v>Корректировка показаний ПУ за прошлые периоды
(включено в сальдо показаний на начало года)</v>
      </c>
      <c r="GK86" s="36" t="str">
        <f t="shared" si="96"/>
        <v>Показания счетчиков в расчет</v>
      </c>
      <c r="GL86" s="36" t="str">
        <f t="shared" si="96"/>
        <v>Потребление, кВт</v>
      </c>
      <c r="GM86" s="36" t="str">
        <f t="shared" si="96"/>
        <v>Потери, кВт</v>
      </c>
      <c r="GN86" s="36" t="str">
        <f t="shared" si="96"/>
        <v>Потребление+ потери, кВт</v>
      </c>
      <c r="GO86" s="36" t="str">
        <f t="shared" si="96"/>
        <v>Сумма к оплате, руб. тариф 2,90руб./кВт</v>
      </c>
      <c r="GP86" s="36" t="str">
        <f t="shared" si="96"/>
        <v>к возмещению от п2п3п4п5п6, руб.</v>
      </c>
      <c r="GQ86" s="36" t="str">
        <f t="shared" si="96"/>
        <v>Сумаа к оплате садоводом с учетом возмещения, руб.</v>
      </c>
      <c r="GR86" s="36" t="str">
        <f t="shared" si="96"/>
        <v>Переплата (-)
Долг(+) 
на 01.11.2019</v>
      </c>
      <c r="GS86" s="36" t="str">
        <f t="shared" si="96"/>
        <v>Способ получения показаний:
1=Показания ПУ
2=Показания ПУ с уч.показаний ст.ПУ
РО=расчет.объем показаний
0=Демонтаж счетчика</v>
      </c>
      <c r="GT86" s="36" t="str">
        <f t="shared" si="96"/>
        <v>Вид начисления</v>
      </c>
      <c r="GU86" s="36" t="str">
        <f t="shared" si="96"/>
        <v>#</v>
      </c>
      <c r="GV86" s="36" t="str">
        <f t="shared" si="96"/>
        <v>Наименование_Точки_Учета</v>
      </c>
      <c r="GW86" s="36" t="str">
        <f t="shared" si="96"/>
        <v>Серийный_№</v>
      </c>
      <c r="GX86" s="36" t="str">
        <f t="shared" si="96"/>
        <v>дата</v>
      </c>
      <c r="GY86" s="36" t="str">
        <f t="shared" si="96"/>
        <v>оплачено в ноябре</v>
      </c>
      <c r="GZ86" s="36" t="str">
        <f t="shared" si="96"/>
        <v>СуммАктЭн</v>
      </c>
      <c r="HA86" s="36" t="str">
        <f t="shared" si="96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HB86" s="36" t="str">
        <f>HB53</f>
        <v>Корректировка показаний 
ПУ за текущий год
(показания ст.ПУ минус показания нов.ПУ на дату монтажа )</v>
      </c>
      <c r="HC86" s="36" t="str">
        <f>HC53</f>
        <v>Корректировка показаний ПУ за прошлый год
(не включено в сальдо показаний на начало года)</v>
      </c>
      <c r="HD86" s="36" t="str">
        <f>HD53</f>
        <v>Корректировка показаний ПУ за прошлые периоды
(включено в сальдо показаний на начало года)</v>
      </c>
      <c r="HE86" s="36" t="str">
        <f>HE53</f>
        <v>Показания счетчиков в расчет</v>
      </c>
      <c r="HF86" s="36" t="str">
        <f aca="true" t="shared" si="97" ref="HF86:IH86">HF53</f>
        <v>Потребление, кВт</v>
      </c>
      <c r="HG86" s="36" t="str">
        <f t="shared" si="97"/>
        <v>Потери, кВт</v>
      </c>
      <c r="HH86" s="36" t="str">
        <f t="shared" si="97"/>
        <v>Потребление+ потери, кВт</v>
      </c>
      <c r="HI86" s="36" t="str">
        <f t="shared" si="97"/>
        <v>Сумма к оплате, руб. тариф 2,90руб./кВт</v>
      </c>
      <c r="HJ86" s="36" t="str">
        <f t="shared" si="97"/>
        <v>к возмещению от п2п3п4п5п6, руб.</v>
      </c>
      <c r="HK86" s="36" t="str">
        <f t="shared" si="97"/>
        <v>Сумаа к начислению по садоводам с учетом возмещения, руб.</v>
      </c>
      <c r="HL86" s="36" t="str">
        <f t="shared" si="97"/>
        <v>Переплата (-)
Долг(+) 
на 01.12.2019</v>
      </c>
      <c r="HM86" s="36" t="str">
        <f t="shared" si="97"/>
        <v>Способ получения показаний:
1=Показания ПУ
2=Показания ПУ с уч.показаний ст.ПУ
РО=расчет.объем показаний
0=Демонтаж счетчика</v>
      </c>
      <c r="HN86" s="36" t="str">
        <f t="shared" si="97"/>
        <v>Вид начисления</v>
      </c>
      <c r="HO86" s="36" t="str">
        <f t="shared" si="97"/>
        <v>#</v>
      </c>
      <c r="HP86" s="36" t="str">
        <f t="shared" si="97"/>
        <v>Наименование_Точки_Учета</v>
      </c>
      <c r="HQ86" s="36" t="str">
        <f t="shared" si="97"/>
        <v>Серийный_№</v>
      </c>
      <c r="HR86" s="36" t="str">
        <f t="shared" si="97"/>
        <v>дата</v>
      </c>
      <c r="HS86" s="36" t="str">
        <f t="shared" si="97"/>
        <v>оплачено в декабре</v>
      </c>
      <c r="HT86" s="36" t="str">
        <f t="shared" si="97"/>
        <v>СуммАктЭн</v>
      </c>
      <c r="HU86" s="36" t="str">
        <f t="shared" si="9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HV86" s="36" t="str">
        <f t="shared" si="97"/>
        <v>Корректировка показаний 
ПУ за текущий год
(показания ст.ПУ минус показания нов.ПУ на дату монтажа )</v>
      </c>
      <c r="HW86" s="36" t="str">
        <f t="shared" si="97"/>
        <v>Корректировка показаний ПУ за прошлый год
(не включено в сальдо показаний на начало года)</v>
      </c>
      <c r="HX86" s="36" t="str">
        <f t="shared" si="97"/>
        <v>Корректировка показаний ПУ за прошлые периоды
(включено в сальдо показаний на начало года)</v>
      </c>
      <c r="HY86" s="36" t="str">
        <f t="shared" si="97"/>
        <v>Показания счетчиков в расчет</v>
      </c>
      <c r="HZ86" s="36" t="str">
        <f t="shared" si="97"/>
        <v>Потребление, кВт</v>
      </c>
      <c r="IA86" s="36" t="str">
        <f t="shared" si="97"/>
        <v>Потери, кВт</v>
      </c>
      <c r="IB86" s="36" t="str">
        <f t="shared" si="97"/>
        <v>Потребление+ потери, кВт</v>
      </c>
      <c r="IC86" s="36" t="str">
        <f t="shared" si="97"/>
        <v>Сумма к оплате, руб. тариф 2,90руб./кВт</v>
      </c>
      <c r="ID86" s="36" t="str">
        <f t="shared" si="97"/>
        <v>к возмещению от п2п3п4п5п6, руб.</v>
      </c>
      <c r="IE86" s="36" t="str">
        <f t="shared" si="97"/>
        <v>Сумаа к начислению по садоводам с учетом возмещения, руб.</v>
      </c>
      <c r="IF86" s="36" t="str">
        <f t="shared" si="97"/>
        <v>Переплата (-)
Долг(+) 
на 01.01.2020</v>
      </c>
      <c r="IG86" s="36" t="str">
        <f t="shared" si="97"/>
        <v>Способ получения показаний:
1=Показания ПУ
2=Показания ПУ с уч.показаний ст.ПУ
РО=расчет.объем показаний
0=Демонтаж счетчика</v>
      </c>
      <c r="IH86" s="36" t="str">
        <f t="shared" si="97"/>
        <v>Вид начисления</v>
      </c>
    </row>
    <row r="87" spans="28:49" ht="67.5">
      <c r="AB87" s="93"/>
      <c r="AE87" s="95">
        <f>AE84-300</f>
        <v>1706.0999999999742</v>
      </c>
      <c r="AF87" s="94">
        <v>16600</v>
      </c>
      <c r="AW87" s="94" t="s">
        <v>121</v>
      </c>
    </row>
    <row r="88" spans="31:49" ht="11.25">
      <c r="AE88" s="95">
        <f>AE84-AE87</f>
        <v>300</v>
      </c>
      <c r="AF88" s="94">
        <f>AF84-AF87</f>
        <v>299.9999999999782</v>
      </c>
      <c r="AW88" s="6">
        <f>AW84-AW85</f>
        <v>0.0013545974416047102</v>
      </c>
    </row>
    <row r="89" ht="56.25">
      <c r="AE89" s="6" t="s">
        <v>120</v>
      </c>
    </row>
    <row r="116" spans="37:119" ht="11.25"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</row>
    <row r="117" spans="37:119" ht="12.75"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</row>
    <row r="118" spans="37:119" ht="11.25"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</row>
  </sheetData>
  <sheetProtection/>
  <mergeCells count="19">
    <mergeCell ref="EO52:FF52"/>
    <mergeCell ref="FG52:FZ52"/>
    <mergeCell ref="GA52:GT52"/>
    <mergeCell ref="GU52:HN52"/>
    <mergeCell ref="HO52:IH52"/>
    <mergeCell ref="AK2:AN2"/>
    <mergeCell ref="AK52:BB52"/>
    <mergeCell ref="BC52:BT52"/>
    <mergeCell ref="BU52:CL52"/>
    <mergeCell ref="CM52:DD52"/>
    <mergeCell ref="A52:P52"/>
    <mergeCell ref="Q52:AI52"/>
    <mergeCell ref="DE52:DV52"/>
    <mergeCell ref="DW52:EN52"/>
    <mergeCell ref="Q1:X1"/>
    <mergeCell ref="Y2:AB2"/>
    <mergeCell ref="AC2:AF2"/>
    <mergeCell ref="AG2:AJ2"/>
    <mergeCell ref="Z12:A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Q1:DX83"/>
  <sheetViews>
    <sheetView view="pageBreakPreview" zoomScaleSheetLayoutView="100" zoomScalePageLayoutView="0" workbookViewId="0" topLeftCell="AT40">
      <selection activeCell="AW51" sqref="AW51"/>
    </sheetView>
  </sheetViews>
  <sheetFormatPr defaultColWidth="9.140625" defaultRowHeight="12.75"/>
  <cols>
    <col min="1" max="1" width="9.28125" style="6" hidden="1" customWidth="1"/>
    <col min="2" max="2" width="23.57421875" style="6" hidden="1" customWidth="1"/>
    <col min="3" max="3" width="0" style="6" hidden="1" customWidth="1"/>
    <col min="4" max="10" width="9.28125" style="6" hidden="1" customWidth="1"/>
    <col min="11" max="11" width="10.57421875" style="6" hidden="1" customWidth="1"/>
    <col min="12" max="13" width="10.00390625" style="6" hidden="1" customWidth="1"/>
    <col min="14" max="14" width="11.57421875" style="6" hidden="1" customWidth="1"/>
    <col min="15" max="15" width="17.140625" style="6" hidden="1" customWidth="1"/>
    <col min="16" max="16" width="16.7109375" style="6" hidden="1" customWidth="1"/>
    <col min="17" max="17" width="9.140625" style="6" customWidth="1"/>
    <col min="18" max="18" width="28.140625" style="6" customWidth="1"/>
    <col min="19" max="19" width="14.57421875" style="6" bestFit="1" customWidth="1"/>
    <col min="20" max="20" width="13.421875" style="6" customWidth="1"/>
    <col min="21" max="21" width="12.00390625" style="6" customWidth="1"/>
    <col min="22" max="22" width="13.28125" style="6" customWidth="1"/>
    <col min="23" max="23" width="15.57421875" style="6" customWidth="1"/>
    <col min="24" max="24" width="14.8515625" style="6" customWidth="1"/>
    <col min="25" max="25" width="20.57421875" style="6" customWidth="1"/>
    <col min="26" max="26" width="13.421875" style="6" customWidth="1"/>
    <col min="27" max="27" width="10.8515625" style="6" customWidth="1"/>
    <col min="28" max="28" width="18.57421875" style="6" customWidth="1"/>
    <col min="29" max="29" width="13.00390625" style="6" customWidth="1"/>
    <col min="30" max="30" width="11.28125" style="6" customWidth="1"/>
    <col min="31" max="31" width="10.8515625" style="6" customWidth="1"/>
    <col min="32" max="32" width="11.7109375" style="6" customWidth="1"/>
    <col min="33" max="33" width="15.28125" style="6" customWidth="1"/>
    <col min="34" max="34" width="10.7109375" style="6" customWidth="1"/>
    <col min="35" max="35" width="16.28125" style="6" customWidth="1"/>
    <col min="36" max="36" width="16.7109375" style="6" customWidth="1"/>
    <col min="37" max="37" width="12.140625" style="6" customWidth="1"/>
    <col min="38" max="38" width="25.57421875" style="6" customWidth="1"/>
    <col min="39" max="55" width="12.7109375" style="6" customWidth="1"/>
    <col min="56" max="56" width="24.421875" style="6" customWidth="1"/>
    <col min="57" max="58" width="9.140625" style="6" customWidth="1"/>
    <col min="59" max="59" width="9.28125" style="6" bestFit="1" customWidth="1"/>
    <col min="60" max="60" width="11.28125" style="6" customWidth="1"/>
    <col min="61" max="64" width="9.28125" style="6" bestFit="1" customWidth="1"/>
    <col min="65" max="65" width="10.8515625" style="6" customWidth="1"/>
    <col min="66" max="70" width="9.421875" style="6" bestFit="1" customWidth="1"/>
    <col min="71" max="71" width="12.8515625" style="6" customWidth="1"/>
    <col min="72" max="72" width="11.28125" style="6" customWidth="1"/>
    <col min="73" max="73" width="4.57421875" style="6" customWidth="1"/>
    <col min="74" max="74" width="24.421875" style="6" customWidth="1"/>
    <col min="75" max="76" width="9.140625" style="6" customWidth="1"/>
    <col min="77" max="83" width="9.28125" style="6" bestFit="1" customWidth="1"/>
    <col min="84" max="88" width="9.421875" style="6" bestFit="1" customWidth="1"/>
    <col min="89" max="89" width="10.8515625" style="6" customWidth="1"/>
    <col min="90" max="90" width="12.00390625" style="6" customWidth="1"/>
    <col min="91" max="91" width="9.140625" style="6" customWidth="1"/>
    <col min="92" max="92" width="27.57421875" style="6" customWidth="1"/>
    <col min="93" max="94" width="9.140625" style="6" customWidth="1"/>
    <col min="95" max="96" width="9.28125" style="6" bestFit="1" customWidth="1"/>
    <col min="97" max="100" width="9.140625" style="6" hidden="1" customWidth="1"/>
    <col min="101" max="101" width="10.140625" style="6" bestFit="1" customWidth="1"/>
    <col min="102" max="106" width="9.421875" style="6" bestFit="1" customWidth="1"/>
    <col min="107" max="107" width="10.7109375" style="99" customWidth="1"/>
    <col min="108" max="108" width="16.421875" style="6" customWidth="1"/>
    <col min="109" max="109" width="6.8515625" style="6" customWidth="1"/>
    <col min="110" max="110" width="27.421875" style="6" customWidth="1"/>
    <col min="111" max="111" width="10.140625" style="6" customWidth="1"/>
    <col min="112" max="112" width="13.8515625" style="6" customWidth="1"/>
    <col min="113" max="113" width="10.28125" style="6" customWidth="1"/>
    <col min="114" max="114" width="11.28125" style="6" customWidth="1"/>
    <col min="115" max="118" width="0" style="6" hidden="1" customWidth="1"/>
    <col min="119" max="119" width="13.00390625" style="6" customWidth="1"/>
    <col min="120" max="122" width="9.421875" style="6" bestFit="1" customWidth="1"/>
    <col min="123" max="123" width="10.140625" style="6" bestFit="1" customWidth="1"/>
    <col min="124" max="124" width="9.421875" style="6" bestFit="1" customWidth="1"/>
    <col min="125" max="125" width="10.57421875" style="6" customWidth="1"/>
    <col min="126" max="126" width="15.57421875" style="6" customWidth="1"/>
    <col min="127" max="127" width="9.140625" style="6" customWidth="1"/>
    <col min="128" max="128" width="33.00390625" style="6" customWidth="1"/>
    <col min="129" max="136" width="9.140625" style="6" customWidth="1"/>
    <col min="137" max="137" width="10.140625" style="6" bestFit="1" customWidth="1"/>
    <col min="138" max="142" width="9.28125" style="6" bestFit="1" customWidth="1"/>
    <col min="143" max="143" width="9.140625" style="6" customWidth="1"/>
    <col min="144" max="144" width="22.28125" style="6" customWidth="1"/>
    <col min="145" max="145" width="6.8515625" style="6" customWidth="1"/>
    <col min="146" max="146" width="30.7109375" style="6" customWidth="1"/>
    <col min="147" max="148" width="9.140625" style="6" customWidth="1"/>
    <col min="149" max="149" width="9.28125" style="6" bestFit="1" customWidth="1"/>
    <col min="150" max="154" width="9.140625" style="6" customWidth="1"/>
    <col min="155" max="155" width="10.140625" style="6" bestFit="1" customWidth="1"/>
    <col min="156" max="160" width="9.28125" style="6" bestFit="1" customWidth="1"/>
    <col min="161" max="161" width="9.140625" style="6" customWidth="1"/>
    <col min="162" max="162" width="22.140625" style="6" customWidth="1"/>
    <col min="163" max="163" width="9.140625" style="6" customWidth="1"/>
    <col min="164" max="164" width="23.00390625" style="6" customWidth="1"/>
    <col min="165" max="172" width="9.140625" style="6" customWidth="1"/>
    <col min="173" max="173" width="10.140625" style="6" bestFit="1" customWidth="1"/>
    <col min="174" max="180" width="9.28125" style="6" bestFit="1" customWidth="1"/>
    <col min="181" max="181" width="11.7109375" style="6" customWidth="1"/>
    <col min="182" max="182" width="12.8515625" style="6" customWidth="1"/>
    <col min="183" max="183" width="9.140625" style="6" customWidth="1"/>
    <col min="184" max="184" width="30.8515625" style="6" customWidth="1"/>
    <col min="185" max="185" width="9.140625" style="6" customWidth="1"/>
    <col min="186" max="187" width="11.7109375" style="6" customWidth="1"/>
    <col min="188" max="188" width="13.140625" style="6" customWidth="1"/>
    <col min="189" max="192" width="9.140625" style="6" customWidth="1"/>
    <col min="193" max="193" width="10.7109375" style="6" customWidth="1"/>
    <col min="194" max="200" width="9.28125" style="6" bestFit="1" customWidth="1"/>
    <col min="201" max="201" width="9.140625" style="6" customWidth="1"/>
    <col min="202" max="202" width="16.8515625" style="6" customWidth="1"/>
    <col min="203" max="203" width="5.28125" style="6" customWidth="1"/>
    <col min="204" max="204" width="32.7109375" style="6" customWidth="1"/>
    <col min="205" max="205" width="9.140625" style="6" customWidth="1"/>
    <col min="206" max="207" width="13.00390625" style="6" customWidth="1"/>
    <col min="208" max="208" width="10.8515625" style="6" customWidth="1"/>
    <col min="209" max="212" width="9.28125" style="6" bestFit="1" customWidth="1"/>
    <col min="213" max="213" width="10.8515625" style="6" customWidth="1"/>
    <col min="214" max="216" width="9.28125" style="6" bestFit="1" customWidth="1"/>
    <col min="217" max="217" width="9.8515625" style="6" customWidth="1"/>
    <col min="218" max="221" width="9.28125" style="6" bestFit="1" customWidth="1"/>
    <col min="222" max="222" width="14.8515625" style="6" customWidth="1"/>
    <col min="223" max="223" width="7.57421875" style="6" customWidth="1"/>
    <col min="224" max="224" width="28.28125" style="6" customWidth="1"/>
    <col min="225" max="241" width="9.140625" style="6" customWidth="1"/>
    <col min="242" max="242" width="14.7109375" style="6" customWidth="1"/>
    <col min="243" max="16384" width="9.140625" style="6" customWidth="1"/>
  </cols>
  <sheetData>
    <row r="1" spans="17:24" ht="32.25" customHeight="1">
      <c r="Q1" s="220" t="s">
        <v>190</v>
      </c>
      <c r="R1" s="220"/>
      <c r="S1" s="220"/>
      <c r="T1" s="220"/>
      <c r="U1" s="220"/>
      <c r="V1" s="220"/>
      <c r="W1" s="220"/>
      <c r="X1" s="220"/>
    </row>
    <row r="2" spans="17:40" ht="46.5" customHeight="1">
      <c r="Q2" s="11"/>
      <c r="R2" s="11" t="s">
        <v>30</v>
      </c>
      <c r="S2" s="11" t="s">
        <v>2</v>
      </c>
      <c r="T2" s="11" t="s">
        <v>27</v>
      </c>
      <c r="U2" s="11" t="s">
        <v>94</v>
      </c>
      <c r="V2" s="11" t="s">
        <v>87</v>
      </c>
      <c r="W2" s="11" t="s">
        <v>42</v>
      </c>
      <c r="X2" s="11" t="s">
        <v>88</v>
      </c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</row>
    <row r="3" spans="17:40" ht="19.5" customHeight="1">
      <c r="Q3" s="7"/>
      <c r="R3" s="7" t="s">
        <v>160</v>
      </c>
      <c r="S3" s="7" t="s">
        <v>191</v>
      </c>
      <c r="T3" s="7">
        <v>1.81</v>
      </c>
      <c r="U3" s="7"/>
      <c r="V3" s="7"/>
      <c r="W3" s="7"/>
      <c r="X3" s="7"/>
      <c r="Y3" s="188"/>
      <c r="Z3" s="189"/>
      <c r="AA3" s="189"/>
      <c r="AB3" s="189"/>
      <c r="AC3" s="188"/>
      <c r="AD3" s="189"/>
      <c r="AE3" s="189"/>
      <c r="AF3" s="189"/>
      <c r="AG3" s="190"/>
      <c r="AH3" s="184"/>
      <c r="AI3" s="184"/>
      <c r="AJ3" s="184"/>
      <c r="AK3" s="191"/>
      <c r="AL3" s="184"/>
      <c r="AM3" s="184"/>
      <c r="AN3" s="184"/>
    </row>
    <row r="4" spans="17:40" ht="19.5" customHeight="1">
      <c r="Q4" s="7"/>
      <c r="R4" s="7" t="s">
        <v>81</v>
      </c>
      <c r="S4" s="7" t="s">
        <v>106</v>
      </c>
      <c r="T4" s="7">
        <v>2.9</v>
      </c>
      <c r="U4" s="7"/>
      <c r="V4" s="7"/>
      <c r="W4" s="7"/>
      <c r="X4" s="7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7:40" ht="19.5" customHeight="1">
      <c r="Q5" s="7"/>
      <c r="R5" s="7" t="s">
        <v>160</v>
      </c>
      <c r="S5" s="7" t="s">
        <v>192</v>
      </c>
      <c r="T5" s="7"/>
      <c r="U5" s="7"/>
      <c r="V5" s="7"/>
      <c r="W5" s="7"/>
      <c r="X5" s="7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7:40" ht="19.5" customHeight="1" thickBot="1">
      <c r="Q6" s="7"/>
      <c r="R6" s="7" t="s">
        <v>81</v>
      </c>
      <c r="S6" s="7" t="s">
        <v>107</v>
      </c>
      <c r="T6" s="7"/>
      <c r="U6" s="7"/>
      <c r="V6" s="7"/>
      <c r="W6" s="7"/>
      <c r="X6" s="7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17:40" ht="48.75" customHeight="1">
      <c r="Q7" s="11"/>
      <c r="R7" s="11" t="s">
        <v>92</v>
      </c>
      <c r="S7" s="23">
        <v>43823</v>
      </c>
      <c r="T7" s="11">
        <f>1941*200</f>
        <v>388200</v>
      </c>
      <c r="U7" s="11"/>
      <c r="V7" s="11"/>
      <c r="W7" s="11"/>
      <c r="X7" s="185"/>
      <c r="Y7" s="202" t="s">
        <v>168</v>
      </c>
      <c r="Z7" s="203" t="s">
        <v>169</v>
      </c>
      <c r="AA7" s="203" t="s">
        <v>194</v>
      </c>
      <c r="AB7" s="204" t="s">
        <v>196</v>
      </c>
      <c r="AC7" s="203" t="s">
        <v>195</v>
      </c>
      <c r="AD7" s="203" t="s">
        <v>197</v>
      </c>
      <c r="AE7" s="205" t="s">
        <v>201</v>
      </c>
      <c r="AF7" s="184"/>
      <c r="AG7" s="184"/>
      <c r="AH7" s="184"/>
      <c r="AI7" s="184"/>
      <c r="AJ7" s="184"/>
      <c r="AK7" s="184"/>
      <c r="AL7" s="184"/>
      <c r="AM7" s="184"/>
      <c r="AN7" s="184"/>
    </row>
    <row r="8" spans="17:40" ht="19.5" customHeight="1">
      <c r="Q8" s="12">
        <v>1</v>
      </c>
      <c r="R8" s="9">
        <v>43831</v>
      </c>
      <c r="S8" s="8">
        <v>43853</v>
      </c>
      <c r="T8" s="14">
        <f>2034*200</f>
        <v>406800</v>
      </c>
      <c r="U8" s="7">
        <f>T8-T7</f>
        <v>18600</v>
      </c>
      <c r="V8" s="7">
        <f>V36/U36*100</f>
        <v>79.22701124505018</v>
      </c>
      <c r="W8" s="7" t="s">
        <v>32</v>
      </c>
      <c r="X8" s="129">
        <f>V8</f>
        <v>79.22701124505018</v>
      </c>
      <c r="Y8" s="206"/>
      <c r="Z8" s="14"/>
      <c r="AA8" s="14"/>
      <c r="AB8" s="14"/>
      <c r="AC8" s="14"/>
      <c r="AD8" s="14"/>
      <c r="AE8" s="207"/>
      <c r="AF8" s="184"/>
      <c r="AG8" s="184"/>
      <c r="AH8" s="184"/>
      <c r="AI8" s="184"/>
      <c r="AJ8" s="184"/>
      <c r="AK8" s="184"/>
      <c r="AL8" s="184"/>
      <c r="AM8" s="184"/>
      <c r="AN8" s="184"/>
    </row>
    <row r="9" spans="17:40" ht="20.25" customHeight="1">
      <c r="Q9" s="173"/>
      <c r="R9" s="174" t="s">
        <v>184</v>
      </c>
      <c r="S9" s="175"/>
      <c r="T9" s="17"/>
      <c r="U9" s="17">
        <f>U37*1.12</f>
        <v>11623.247999999961</v>
      </c>
      <c r="V9" s="17">
        <f>V37/U36*100</f>
        <v>12.000000000000005</v>
      </c>
      <c r="W9" s="17" t="s">
        <v>32</v>
      </c>
      <c r="X9" s="186">
        <f>V9</f>
        <v>12.000000000000005</v>
      </c>
      <c r="Y9" s="206">
        <f>U9</f>
        <v>11623.247999999961</v>
      </c>
      <c r="Z9" s="14">
        <v>2.9</v>
      </c>
      <c r="AA9" s="14">
        <f>Y9*Z9</f>
        <v>33707.41919999989</v>
      </c>
      <c r="AB9" s="14">
        <f>-30*110</f>
        <v>-3300</v>
      </c>
      <c r="AC9" s="14">
        <f>2.9-1.81</f>
        <v>1.0899999999999999</v>
      </c>
      <c r="AD9" s="14">
        <f>AB9*AC9</f>
        <v>-3596.9999999999995</v>
      </c>
      <c r="AE9" s="207">
        <f>AA9+AD9</f>
        <v>30110.419199999887</v>
      </c>
      <c r="AF9" s="184"/>
      <c r="AG9" s="184"/>
      <c r="AH9" s="184"/>
      <c r="AI9" s="184"/>
      <c r="AJ9" s="184"/>
      <c r="AK9" s="184"/>
      <c r="AL9" s="184"/>
      <c r="AM9" s="184"/>
      <c r="AN9" s="184"/>
    </row>
    <row r="10" spans="17:40" ht="25.5" customHeight="1">
      <c r="Q10" s="173"/>
      <c r="R10" s="174" t="s">
        <v>203</v>
      </c>
      <c r="S10" s="175"/>
      <c r="T10" s="17"/>
      <c r="U10" s="17">
        <f>U8-U9</f>
        <v>6976.752000000039</v>
      </c>
      <c r="V10" s="17"/>
      <c r="W10" s="17"/>
      <c r="X10" s="186"/>
      <c r="Y10" s="206"/>
      <c r="Z10" s="14"/>
      <c r="AA10" s="14"/>
      <c r="AB10" s="14"/>
      <c r="AC10" s="14"/>
      <c r="AD10" s="14"/>
      <c r="AE10" s="207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7:40" ht="19.5" customHeight="1">
      <c r="Q11" s="12">
        <v>2</v>
      </c>
      <c r="R11" s="9">
        <v>43862</v>
      </c>
      <c r="S11" s="8"/>
      <c r="T11" s="7"/>
      <c r="U11" s="7"/>
      <c r="V11" s="7"/>
      <c r="W11" s="7" t="s">
        <v>32</v>
      </c>
      <c r="X11" s="129"/>
      <c r="Y11" s="206"/>
      <c r="Z11" s="14"/>
      <c r="AA11" s="14"/>
      <c r="AB11" s="14"/>
      <c r="AC11" s="14"/>
      <c r="AD11" s="14"/>
      <c r="AE11" s="208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7:40" ht="19.5" customHeight="1">
      <c r="Q12" s="12">
        <v>3</v>
      </c>
      <c r="R12" s="9">
        <v>43891</v>
      </c>
      <c r="S12" s="8"/>
      <c r="T12" s="7"/>
      <c r="U12" s="7"/>
      <c r="V12" s="7"/>
      <c r="W12" s="7" t="s">
        <v>32</v>
      </c>
      <c r="X12" s="129"/>
      <c r="Y12" s="206"/>
      <c r="Z12" s="133"/>
      <c r="AA12" s="133"/>
      <c r="AB12" s="133"/>
      <c r="AC12" s="14"/>
      <c r="AD12" s="14"/>
      <c r="AE12" s="208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7:40" ht="19.5" customHeight="1">
      <c r="Q13" s="12">
        <v>4</v>
      </c>
      <c r="R13" s="9">
        <v>43922</v>
      </c>
      <c r="S13" s="8"/>
      <c r="T13" s="7"/>
      <c r="U13" s="7"/>
      <c r="V13" s="7"/>
      <c r="W13" s="7" t="s">
        <v>32</v>
      </c>
      <c r="X13" s="129"/>
      <c r="Y13" s="206"/>
      <c r="Z13" s="14"/>
      <c r="AA13" s="14"/>
      <c r="AB13" s="14"/>
      <c r="AC13" s="14"/>
      <c r="AD13" s="14"/>
      <c r="AE13" s="208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7:40" ht="19.5" customHeight="1">
      <c r="Q14" s="12">
        <v>5</v>
      </c>
      <c r="R14" s="9">
        <v>43952</v>
      </c>
      <c r="S14" s="8"/>
      <c r="T14" s="7"/>
      <c r="U14" s="7"/>
      <c r="V14" s="7"/>
      <c r="W14" s="7" t="s">
        <v>32</v>
      </c>
      <c r="X14" s="129"/>
      <c r="Y14" s="206"/>
      <c r="Z14" s="14"/>
      <c r="AA14" s="14"/>
      <c r="AB14" s="14"/>
      <c r="AC14" s="14"/>
      <c r="AD14" s="14"/>
      <c r="AE14" s="208"/>
      <c r="AF14" s="184"/>
      <c r="AG14" s="184"/>
      <c r="AH14" s="184"/>
      <c r="AI14" s="184"/>
      <c r="AJ14" s="184"/>
      <c r="AK14" s="184"/>
      <c r="AL14" s="184"/>
      <c r="AM14" s="184"/>
      <c r="AN14" s="184"/>
    </row>
    <row r="15" spans="17:40" ht="19.5" customHeight="1">
      <c r="Q15" s="12">
        <v>6</v>
      </c>
      <c r="R15" s="9">
        <v>43983</v>
      </c>
      <c r="S15" s="8"/>
      <c r="T15" s="7"/>
      <c r="U15" s="7"/>
      <c r="V15" s="7"/>
      <c r="W15" s="7" t="s">
        <v>32</v>
      </c>
      <c r="X15" s="129"/>
      <c r="Y15" s="206"/>
      <c r="Z15" s="14"/>
      <c r="AA15" s="14"/>
      <c r="AB15" s="14"/>
      <c r="AC15" s="14"/>
      <c r="AD15" s="14"/>
      <c r="AE15" s="208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7:111" ht="18.75" customHeight="1">
      <c r="Q16" s="12">
        <v>7</v>
      </c>
      <c r="R16" s="9">
        <v>44013</v>
      </c>
      <c r="S16" s="8"/>
      <c r="T16" s="7"/>
      <c r="U16" s="7"/>
      <c r="V16" s="7"/>
      <c r="W16" s="7" t="s">
        <v>32</v>
      </c>
      <c r="X16" s="129"/>
      <c r="Y16" s="206"/>
      <c r="Z16" s="14"/>
      <c r="AA16" s="14"/>
      <c r="AB16" s="14"/>
      <c r="AC16" s="14"/>
      <c r="AD16" s="14"/>
      <c r="AE16" s="208"/>
      <c r="AF16" s="184"/>
      <c r="AG16" s="184"/>
      <c r="AH16" s="184"/>
      <c r="AI16" s="184"/>
      <c r="AJ16" s="184"/>
      <c r="AK16" s="184"/>
      <c r="AL16" s="184"/>
      <c r="AM16" s="184"/>
      <c r="AN16" s="184"/>
      <c r="DC16" s="6"/>
      <c r="DG16" s="99"/>
    </row>
    <row r="17" spans="17:111" ht="24" customHeight="1">
      <c r="Q17" s="12">
        <v>8</v>
      </c>
      <c r="R17" s="9">
        <v>44044</v>
      </c>
      <c r="S17" s="8"/>
      <c r="T17" s="7"/>
      <c r="U17" s="7"/>
      <c r="V17" s="7"/>
      <c r="W17" s="7" t="s">
        <v>32</v>
      </c>
      <c r="X17" s="129"/>
      <c r="Y17" s="206"/>
      <c r="Z17" s="14"/>
      <c r="AA17" s="14"/>
      <c r="AB17" s="14"/>
      <c r="AC17" s="14"/>
      <c r="AD17" s="14"/>
      <c r="AE17" s="208"/>
      <c r="AF17" s="184"/>
      <c r="AG17" s="184"/>
      <c r="AH17" s="184"/>
      <c r="AI17" s="184"/>
      <c r="AJ17" s="184"/>
      <c r="AK17" s="184"/>
      <c r="AL17" s="184"/>
      <c r="AM17" s="184"/>
      <c r="AN17" s="184"/>
      <c r="DC17" s="6"/>
      <c r="DG17" s="99"/>
    </row>
    <row r="18" spans="17:111" ht="23.25" customHeight="1">
      <c r="Q18" s="12">
        <v>9</v>
      </c>
      <c r="R18" s="9">
        <v>44075</v>
      </c>
      <c r="S18" s="8"/>
      <c r="T18" s="7"/>
      <c r="U18" s="7"/>
      <c r="V18" s="7"/>
      <c r="W18" s="7" t="s">
        <v>32</v>
      </c>
      <c r="X18" s="129"/>
      <c r="Y18" s="206"/>
      <c r="Z18" s="14"/>
      <c r="AA18" s="14"/>
      <c r="AB18" s="14"/>
      <c r="AC18" s="14"/>
      <c r="AD18" s="14"/>
      <c r="AE18" s="208"/>
      <c r="AF18" s="184"/>
      <c r="AG18" s="184"/>
      <c r="AH18" s="184"/>
      <c r="AI18" s="184"/>
      <c r="AJ18" s="184"/>
      <c r="AK18" s="184"/>
      <c r="AL18" s="184"/>
      <c r="AM18" s="184"/>
      <c r="AN18" s="184"/>
      <c r="DC18" s="6"/>
      <c r="DG18" s="99"/>
    </row>
    <row r="19" spans="17:111" ht="19.5" customHeight="1">
      <c r="Q19" s="12">
        <v>10</v>
      </c>
      <c r="R19" s="9">
        <v>44105</v>
      </c>
      <c r="S19" s="8"/>
      <c r="T19" s="7"/>
      <c r="U19" s="7"/>
      <c r="V19" s="7"/>
      <c r="W19" s="7" t="s">
        <v>32</v>
      </c>
      <c r="X19" s="129"/>
      <c r="Y19" s="206"/>
      <c r="Z19" s="14"/>
      <c r="AA19" s="14"/>
      <c r="AB19" s="14"/>
      <c r="AC19" s="14"/>
      <c r="AD19" s="14"/>
      <c r="AE19" s="208"/>
      <c r="AF19" s="184"/>
      <c r="AG19" s="184"/>
      <c r="AH19" s="184"/>
      <c r="AI19" s="184"/>
      <c r="AJ19" s="184"/>
      <c r="AK19" s="184"/>
      <c r="AL19" s="184"/>
      <c r="AM19" s="184"/>
      <c r="AN19" s="184"/>
      <c r="DC19" s="6"/>
      <c r="DG19" s="99"/>
    </row>
    <row r="20" spans="17:40" ht="19.5" customHeight="1">
      <c r="Q20" s="12">
        <v>11</v>
      </c>
      <c r="R20" s="9">
        <v>44136</v>
      </c>
      <c r="S20" s="8"/>
      <c r="T20" s="7"/>
      <c r="U20" s="7"/>
      <c r="V20" s="7"/>
      <c r="W20" s="7" t="s">
        <v>32</v>
      </c>
      <c r="X20" s="129"/>
      <c r="Y20" s="209"/>
      <c r="Z20" s="133"/>
      <c r="AA20" s="133"/>
      <c r="AB20" s="195"/>
      <c r="AC20" s="133"/>
      <c r="AD20" s="133"/>
      <c r="AE20" s="207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7:40" ht="19.5" customHeight="1">
      <c r="Q21" s="176">
        <v>12</v>
      </c>
      <c r="R21" s="177">
        <v>43800</v>
      </c>
      <c r="S21" s="178"/>
      <c r="T21" s="14"/>
      <c r="U21" s="14"/>
      <c r="V21" s="14"/>
      <c r="W21" s="14" t="s">
        <v>32</v>
      </c>
      <c r="X21" s="187"/>
      <c r="Y21" s="209"/>
      <c r="Z21" s="133"/>
      <c r="AA21" s="133"/>
      <c r="AB21" s="195"/>
      <c r="AC21" s="133"/>
      <c r="AD21" s="133"/>
      <c r="AE21" s="207"/>
      <c r="AF21" s="184"/>
      <c r="AG21" s="184"/>
      <c r="AH21" s="184"/>
      <c r="AI21" s="184"/>
      <c r="AJ21" s="184"/>
      <c r="AK21" s="184"/>
      <c r="AL21" s="184"/>
      <c r="AM21" s="184"/>
      <c r="AN21" s="184"/>
    </row>
    <row r="22" spans="17:40" ht="26.25" customHeight="1" thickBot="1">
      <c r="Q22" s="24"/>
      <c r="R22" s="25" t="s">
        <v>93</v>
      </c>
      <c r="S22" s="23">
        <v>43830</v>
      </c>
      <c r="T22" s="11">
        <v>456800.01</v>
      </c>
      <c r="U22" s="11"/>
      <c r="V22" s="11"/>
      <c r="W22" s="11"/>
      <c r="X22" s="185"/>
      <c r="Y22" s="210"/>
      <c r="Z22" s="211"/>
      <c r="AA22" s="211"/>
      <c r="AB22" s="212"/>
      <c r="AC22" s="211"/>
      <c r="AD22" s="211"/>
      <c r="AE22" s="213"/>
      <c r="AF22" s="184"/>
      <c r="AG22" s="184"/>
      <c r="AH22" s="184"/>
      <c r="AI22" s="184"/>
      <c r="AJ22" s="184"/>
      <c r="AK22" s="184"/>
      <c r="AL22" s="184"/>
      <c r="AM22" s="184"/>
      <c r="AN22" s="184"/>
    </row>
    <row r="23" spans="17:30" ht="19.5" customHeight="1">
      <c r="Q23" s="12">
        <v>1</v>
      </c>
      <c r="R23" s="9">
        <v>43831</v>
      </c>
      <c r="S23" s="8">
        <v>43861</v>
      </c>
      <c r="T23" s="7">
        <v>468042.54</v>
      </c>
      <c r="U23" s="7">
        <f>T23-T22</f>
        <v>11242.52999999997</v>
      </c>
      <c r="V23" s="7">
        <f>(U23-U36)/U36*100</f>
        <v>8.331454340473579</v>
      </c>
      <c r="W23" s="7" t="s">
        <v>31</v>
      </c>
      <c r="X23" s="7">
        <f>V23</f>
        <v>8.331454340473579</v>
      </c>
      <c r="Y23" s="193"/>
      <c r="Z23" s="193"/>
      <c r="AA23" s="193"/>
      <c r="AB23" s="193"/>
      <c r="AC23" s="193"/>
      <c r="AD23" s="193"/>
    </row>
    <row r="24" spans="17:30" ht="19.5" customHeight="1">
      <c r="Q24" s="12">
        <v>2</v>
      </c>
      <c r="R24" s="9">
        <v>43862</v>
      </c>
      <c r="S24" s="8"/>
      <c r="T24" s="7"/>
      <c r="U24" s="7"/>
      <c r="V24" s="7"/>
      <c r="W24" s="7" t="s">
        <v>31</v>
      </c>
      <c r="X24" s="7"/>
      <c r="Y24" s="193"/>
      <c r="Z24" s="193"/>
      <c r="AA24" s="193"/>
      <c r="AB24" s="193"/>
      <c r="AC24" s="193"/>
      <c r="AD24" s="193"/>
    </row>
    <row r="25" spans="17:30" ht="19.5" customHeight="1">
      <c r="Q25" s="12">
        <v>3</v>
      </c>
      <c r="R25" s="9">
        <v>43891</v>
      </c>
      <c r="S25" s="8"/>
      <c r="T25" s="7"/>
      <c r="U25" s="7"/>
      <c r="V25" s="7"/>
      <c r="W25" s="7" t="s">
        <v>31</v>
      </c>
      <c r="X25" s="7"/>
      <c r="Y25" s="193"/>
      <c r="Z25" s="193"/>
      <c r="AA25" s="193"/>
      <c r="AB25" s="193"/>
      <c r="AC25" s="193"/>
      <c r="AD25" s="193"/>
    </row>
    <row r="26" spans="17:30" ht="19.5" customHeight="1">
      <c r="Q26" s="12">
        <v>4</v>
      </c>
      <c r="R26" s="9">
        <v>43922</v>
      </c>
      <c r="S26" s="8"/>
      <c r="T26" s="7"/>
      <c r="U26" s="7"/>
      <c r="V26" s="7"/>
      <c r="W26" s="7" t="s">
        <v>31</v>
      </c>
      <c r="X26" s="7"/>
      <c r="Y26" s="193"/>
      <c r="Z26" s="193"/>
      <c r="AA26" s="193"/>
      <c r="AB26" s="193"/>
      <c r="AC26" s="193"/>
      <c r="AD26" s="193"/>
    </row>
    <row r="27" spans="17:30" ht="19.5" customHeight="1">
      <c r="Q27" s="12">
        <v>5</v>
      </c>
      <c r="R27" s="9">
        <v>43952</v>
      </c>
      <c r="S27" s="8"/>
      <c r="T27" s="7"/>
      <c r="U27" s="7"/>
      <c r="V27" s="7"/>
      <c r="W27" s="7" t="s">
        <v>31</v>
      </c>
      <c r="X27" s="7"/>
      <c r="Y27" s="193"/>
      <c r="Z27" s="193"/>
      <c r="AA27" s="193"/>
      <c r="AB27" s="193"/>
      <c r="AC27" s="193"/>
      <c r="AD27" s="193"/>
    </row>
    <row r="28" spans="17:30" ht="19.5" customHeight="1">
      <c r="Q28" s="12">
        <v>6</v>
      </c>
      <c r="R28" s="9">
        <v>43983</v>
      </c>
      <c r="S28" s="8"/>
      <c r="T28" s="7"/>
      <c r="U28" s="7"/>
      <c r="V28" s="7"/>
      <c r="W28" s="7" t="s">
        <v>31</v>
      </c>
      <c r="X28" s="7"/>
      <c r="Y28" s="193"/>
      <c r="Z28" s="193"/>
      <c r="AA28" s="193"/>
      <c r="AB28" s="193"/>
      <c r="AC28" s="193"/>
      <c r="AD28" s="193"/>
    </row>
    <row r="29" spans="17:30" ht="19.5" customHeight="1">
      <c r="Q29" s="12">
        <v>7</v>
      </c>
      <c r="R29" s="9">
        <v>44013</v>
      </c>
      <c r="S29" s="8"/>
      <c r="T29" s="7"/>
      <c r="U29" s="7"/>
      <c r="V29" s="7"/>
      <c r="W29" s="7" t="s">
        <v>31</v>
      </c>
      <c r="X29" s="7"/>
      <c r="Y29" s="193"/>
      <c r="Z29" s="193"/>
      <c r="AA29" s="193"/>
      <c r="AB29" s="193"/>
      <c r="AC29" s="193"/>
      <c r="AD29" s="193"/>
    </row>
    <row r="30" spans="17:30" ht="19.5" customHeight="1">
      <c r="Q30" s="12">
        <v>8</v>
      </c>
      <c r="R30" s="9">
        <v>44044</v>
      </c>
      <c r="S30" s="8"/>
      <c r="T30" s="7"/>
      <c r="U30" s="7"/>
      <c r="V30" s="7"/>
      <c r="W30" s="7" t="s">
        <v>31</v>
      </c>
      <c r="X30" s="7"/>
      <c r="Y30" s="193"/>
      <c r="Z30" s="193"/>
      <c r="AA30" s="193"/>
      <c r="AB30" s="193"/>
      <c r="AC30" s="193"/>
      <c r="AD30" s="193"/>
    </row>
    <row r="31" spans="17:30" ht="19.5" customHeight="1">
      <c r="Q31" s="12">
        <v>9</v>
      </c>
      <c r="R31" s="9">
        <v>44075</v>
      </c>
      <c r="S31" s="8"/>
      <c r="T31" s="7"/>
      <c r="U31" s="7"/>
      <c r="V31" s="7"/>
      <c r="W31" s="7" t="s">
        <v>31</v>
      </c>
      <c r="X31" s="7"/>
      <c r="Y31" s="193"/>
      <c r="Z31" s="193"/>
      <c r="AA31" s="193"/>
      <c r="AB31" s="193"/>
      <c r="AC31" s="193"/>
      <c r="AD31" s="193"/>
    </row>
    <row r="32" spans="17:30" ht="19.5" customHeight="1">
      <c r="Q32" s="12">
        <v>10</v>
      </c>
      <c r="R32" s="9">
        <v>44105</v>
      </c>
      <c r="S32" s="8"/>
      <c r="T32" s="7"/>
      <c r="U32" s="7"/>
      <c r="V32" s="7"/>
      <c r="W32" s="7" t="s">
        <v>31</v>
      </c>
      <c r="X32" s="7"/>
      <c r="Y32" s="193"/>
      <c r="Z32" s="193"/>
      <c r="AA32" s="193"/>
      <c r="AB32" s="193"/>
      <c r="AC32" s="193"/>
      <c r="AD32" s="193"/>
    </row>
    <row r="33" spans="17:30" ht="19.5" customHeight="1">
      <c r="Q33" s="12">
        <v>11</v>
      </c>
      <c r="R33" s="9">
        <v>44136</v>
      </c>
      <c r="S33" s="8"/>
      <c r="T33" s="7"/>
      <c r="U33" s="7"/>
      <c r="V33" s="7"/>
      <c r="W33" s="7" t="s">
        <v>31</v>
      </c>
      <c r="X33" s="7"/>
      <c r="Y33" s="193"/>
      <c r="Z33" s="193"/>
      <c r="AA33" s="193"/>
      <c r="AB33" s="193"/>
      <c r="AC33" s="193"/>
      <c r="AD33" s="193"/>
    </row>
    <row r="34" spans="17:30" ht="19.5" customHeight="1">
      <c r="Q34" s="12">
        <v>12</v>
      </c>
      <c r="R34" s="9">
        <v>44166</v>
      </c>
      <c r="S34" s="8"/>
      <c r="T34" s="7"/>
      <c r="U34" s="7"/>
      <c r="V34" s="7"/>
      <c r="W34" s="7" t="s">
        <v>31</v>
      </c>
      <c r="X34" s="7"/>
      <c r="Y34" s="193"/>
      <c r="Z34" s="193"/>
      <c r="AA34" s="193"/>
      <c r="AB34" s="193"/>
      <c r="AC34" s="193"/>
      <c r="AD34" s="193"/>
    </row>
    <row r="35" spans="17:30" ht="49.5" customHeight="1">
      <c r="Q35" s="24"/>
      <c r="R35" s="25" t="s">
        <v>29</v>
      </c>
      <c r="S35" s="23">
        <v>43830</v>
      </c>
      <c r="T35" s="11">
        <v>372798.78</v>
      </c>
      <c r="U35" s="11"/>
      <c r="V35" s="11"/>
      <c r="W35" s="11"/>
      <c r="X35" s="11"/>
      <c r="Y35" s="192"/>
      <c r="Z35" s="192"/>
      <c r="AA35" s="192"/>
      <c r="AB35" s="194"/>
      <c r="AC35" s="192"/>
      <c r="AD35" s="192"/>
    </row>
    <row r="36" spans="17:30" ht="19.5" customHeight="1">
      <c r="Q36" s="12">
        <v>1</v>
      </c>
      <c r="R36" s="9">
        <v>43831</v>
      </c>
      <c r="S36" s="8">
        <v>43861</v>
      </c>
      <c r="T36" s="7">
        <v>383176.68</v>
      </c>
      <c r="U36" s="7">
        <f>T36-T35</f>
        <v>10377.899999999965</v>
      </c>
      <c r="V36" s="7">
        <f>U8-U36</f>
        <v>8222.100000000035</v>
      </c>
      <c r="W36" s="7" t="s">
        <v>33</v>
      </c>
      <c r="X36" s="7"/>
      <c r="Y36" s="193"/>
      <c r="Z36" s="193"/>
      <c r="AA36" s="193"/>
      <c r="AB36" s="193"/>
      <c r="AC36" s="193"/>
      <c r="AD36" s="193"/>
    </row>
    <row r="37" spans="17:30" ht="22.5" customHeight="1">
      <c r="Q37" s="173"/>
      <c r="R37" s="174" t="s">
        <v>193</v>
      </c>
      <c r="S37" s="175"/>
      <c r="T37" s="17"/>
      <c r="U37" s="17">
        <f>U36</f>
        <v>10377.899999999965</v>
      </c>
      <c r="V37" s="17">
        <f>U9-U37</f>
        <v>1245.3479999999963</v>
      </c>
      <c r="W37" s="17" t="s">
        <v>33</v>
      </c>
      <c r="X37" s="17"/>
      <c r="Y37" s="193"/>
      <c r="Z37" s="193"/>
      <c r="AA37" s="193"/>
      <c r="AB37" s="193"/>
      <c r="AC37" s="193"/>
      <c r="AD37" s="193"/>
    </row>
    <row r="38" spans="17:30" ht="23.25" customHeight="1">
      <c r="Q38" s="176">
        <v>2</v>
      </c>
      <c r="R38" s="177">
        <v>43862</v>
      </c>
      <c r="S38" s="178"/>
      <c r="T38" s="14"/>
      <c r="U38" s="7">
        <f>T38-T37</f>
        <v>0</v>
      </c>
      <c r="V38" s="7">
        <f aca="true" t="shared" si="0" ref="V38:V48">U11-U38</f>
        <v>0</v>
      </c>
      <c r="W38" s="7" t="s">
        <v>33</v>
      </c>
      <c r="X38" s="14"/>
      <c r="Y38" s="193"/>
      <c r="Z38" s="193"/>
      <c r="AA38" s="193"/>
      <c r="AB38" s="193"/>
      <c r="AC38" s="193"/>
      <c r="AD38" s="193"/>
    </row>
    <row r="39" spans="17:30" ht="19.5" customHeight="1">
      <c r="Q39" s="12">
        <v>3</v>
      </c>
      <c r="R39" s="9">
        <v>43891</v>
      </c>
      <c r="S39" s="8"/>
      <c r="T39" s="7"/>
      <c r="U39" s="7">
        <f>T39-T38</f>
        <v>0</v>
      </c>
      <c r="V39" s="7">
        <f t="shared" si="0"/>
        <v>0</v>
      </c>
      <c r="W39" s="7" t="s">
        <v>33</v>
      </c>
      <c r="X39" s="7"/>
      <c r="Y39" s="193"/>
      <c r="Z39" s="193"/>
      <c r="AA39" s="193"/>
      <c r="AB39" s="193"/>
      <c r="AC39" s="193"/>
      <c r="AD39" s="193"/>
    </row>
    <row r="40" spans="17:30" ht="19.5" customHeight="1">
      <c r="Q40" s="12">
        <v>4</v>
      </c>
      <c r="R40" s="9">
        <v>43922</v>
      </c>
      <c r="S40" s="8"/>
      <c r="T40" s="7"/>
      <c r="U40" s="7">
        <f aca="true" t="shared" si="1" ref="U40:U48">T40-T39</f>
        <v>0</v>
      </c>
      <c r="V40" s="7">
        <f t="shared" si="0"/>
        <v>0</v>
      </c>
      <c r="W40" s="7" t="s">
        <v>33</v>
      </c>
      <c r="X40" s="7"/>
      <c r="Y40" s="193"/>
      <c r="Z40" s="193"/>
      <c r="AA40" s="193"/>
      <c r="AB40" s="193"/>
      <c r="AC40" s="193"/>
      <c r="AD40" s="193"/>
    </row>
    <row r="41" spans="17:30" ht="19.5" customHeight="1">
      <c r="Q41" s="12">
        <v>5</v>
      </c>
      <c r="R41" s="9">
        <v>43952</v>
      </c>
      <c r="S41" s="8"/>
      <c r="T41" s="7"/>
      <c r="U41" s="7">
        <f t="shared" si="1"/>
        <v>0</v>
      </c>
      <c r="V41" s="7">
        <f t="shared" si="0"/>
        <v>0</v>
      </c>
      <c r="W41" s="7" t="s">
        <v>33</v>
      </c>
      <c r="X41" s="7"/>
      <c r="Y41" s="193"/>
      <c r="Z41" s="193"/>
      <c r="AA41" s="193"/>
      <c r="AB41" s="193"/>
      <c r="AC41" s="193"/>
      <c r="AD41" s="193"/>
    </row>
    <row r="42" spans="17:30" ht="19.5" customHeight="1">
      <c r="Q42" s="12">
        <v>6</v>
      </c>
      <c r="R42" s="9">
        <v>43983</v>
      </c>
      <c r="S42" s="8"/>
      <c r="T42" s="7"/>
      <c r="U42" s="7">
        <f t="shared" si="1"/>
        <v>0</v>
      </c>
      <c r="V42" s="7">
        <f t="shared" si="0"/>
        <v>0</v>
      </c>
      <c r="W42" s="7" t="s">
        <v>33</v>
      </c>
      <c r="X42" s="7"/>
      <c r="Y42" s="193"/>
      <c r="Z42" s="193"/>
      <c r="AA42" s="193"/>
      <c r="AB42" s="193"/>
      <c r="AC42" s="193"/>
      <c r="AD42" s="193"/>
    </row>
    <row r="43" spans="17:30" ht="19.5" customHeight="1">
      <c r="Q43" s="12">
        <v>7</v>
      </c>
      <c r="R43" s="9">
        <v>44013</v>
      </c>
      <c r="S43" s="8"/>
      <c r="T43" s="7"/>
      <c r="U43" s="7">
        <f t="shared" si="1"/>
        <v>0</v>
      </c>
      <c r="V43" s="7">
        <f t="shared" si="0"/>
        <v>0</v>
      </c>
      <c r="W43" s="7" t="s">
        <v>33</v>
      </c>
      <c r="X43" s="7"/>
      <c r="Y43" s="193"/>
      <c r="Z43" s="193"/>
      <c r="AA43" s="193"/>
      <c r="AB43" s="193"/>
      <c r="AC43" s="193"/>
      <c r="AD43" s="193"/>
    </row>
    <row r="44" spans="17:30" ht="19.5" customHeight="1">
      <c r="Q44" s="12">
        <v>8</v>
      </c>
      <c r="R44" s="9">
        <v>44044</v>
      </c>
      <c r="S44" s="8"/>
      <c r="T44" s="7"/>
      <c r="U44" s="7">
        <f t="shared" si="1"/>
        <v>0</v>
      </c>
      <c r="V44" s="7">
        <f t="shared" si="0"/>
        <v>0</v>
      </c>
      <c r="W44" s="7" t="s">
        <v>33</v>
      </c>
      <c r="X44" s="7"/>
      <c r="Y44" s="193"/>
      <c r="Z44" s="193"/>
      <c r="AA44" s="193"/>
      <c r="AB44" s="193"/>
      <c r="AC44" s="193"/>
      <c r="AD44" s="193"/>
    </row>
    <row r="45" spans="17:30" ht="19.5" customHeight="1">
      <c r="Q45" s="12">
        <v>9</v>
      </c>
      <c r="R45" s="9">
        <v>44075</v>
      </c>
      <c r="S45" s="8"/>
      <c r="T45" s="7"/>
      <c r="U45" s="7">
        <f t="shared" si="1"/>
        <v>0</v>
      </c>
      <c r="V45" s="7">
        <f t="shared" si="0"/>
        <v>0</v>
      </c>
      <c r="W45" s="7" t="s">
        <v>33</v>
      </c>
      <c r="X45" s="7"/>
      <c r="Y45" s="193"/>
      <c r="Z45" s="193"/>
      <c r="AA45" s="193"/>
      <c r="AB45" s="193"/>
      <c r="AC45" s="193"/>
      <c r="AD45" s="193"/>
    </row>
    <row r="46" spans="17:30" ht="19.5" customHeight="1">
      <c r="Q46" s="12">
        <v>10</v>
      </c>
      <c r="R46" s="9">
        <v>44105</v>
      </c>
      <c r="S46" s="8"/>
      <c r="T46" s="7"/>
      <c r="U46" s="7">
        <f t="shared" si="1"/>
        <v>0</v>
      </c>
      <c r="V46" s="7">
        <f t="shared" si="0"/>
        <v>0</v>
      </c>
      <c r="W46" s="7" t="s">
        <v>33</v>
      </c>
      <c r="X46" s="7"/>
      <c r="Y46" s="193"/>
      <c r="Z46" s="193"/>
      <c r="AA46" s="193"/>
      <c r="AB46" s="193"/>
      <c r="AC46" s="193"/>
      <c r="AD46" s="193"/>
    </row>
    <row r="47" spans="17:30" ht="19.5" customHeight="1">
      <c r="Q47" s="12">
        <v>11</v>
      </c>
      <c r="R47" s="9">
        <v>44136</v>
      </c>
      <c r="S47" s="8"/>
      <c r="T47" s="7"/>
      <c r="U47" s="7">
        <f t="shared" si="1"/>
        <v>0</v>
      </c>
      <c r="V47" s="7">
        <f t="shared" si="0"/>
        <v>0</v>
      </c>
      <c r="W47" s="7" t="s">
        <v>33</v>
      </c>
      <c r="X47" s="7"/>
      <c r="Y47" s="193"/>
      <c r="Z47" s="193"/>
      <c r="AA47" s="193"/>
      <c r="AB47" s="193"/>
      <c r="AC47" s="193"/>
      <c r="AD47" s="193"/>
    </row>
    <row r="48" spans="17:30" ht="19.5" customHeight="1">
      <c r="Q48" s="26">
        <v>12</v>
      </c>
      <c r="R48" s="27">
        <v>44166</v>
      </c>
      <c r="S48" s="28"/>
      <c r="T48" s="29"/>
      <c r="U48" s="29">
        <f t="shared" si="1"/>
        <v>0</v>
      </c>
      <c r="V48" s="29">
        <f t="shared" si="0"/>
        <v>0</v>
      </c>
      <c r="W48" s="29" t="s">
        <v>33</v>
      </c>
      <c r="X48" s="29"/>
      <c r="Y48" s="193"/>
      <c r="Z48" s="193"/>
      <c r="AA48" s="193"/>
      <c r="AB48" s="193"/>
      <c r="AC48" s="193"/>
      <c r="AD48" s="193"/>
    </row>
    <row r="49" spans="17:56" ht="20.25" customHeight="1">
      <c r="Q49" s="217" t="s">
        <v>186</v>
      </c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27" t="s">
        <v>202</v>
      </c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</row>
    <row r="50" spans="17:109" ht="71.25" customHeight="1">
      <c r="Q50" s="11" t="s">
        <v>0</v>
      </c>
      <c r="R50" s="11" t="s">
        <v>1</v>
      </c>
      <c r="S50" s="11" t="s">
        <v>34</v>
      </c>
      <c r="T50" s="11" t="s">
        <v>2</v>
      </c>
      <c r="U50" s="11" t="s">
        <v>185</v>
      </c>
      <c r="V50" s="11" t="s">
        <v>3</v>
      </c>
      <c r="W50" s="33" t="s">
        <v>97</v>
      </c>
      <c r="X50" s="33" t="s">
        <v>122</v>
      </c>
      <c r="Y50" s="33" t="s">
        <v>123</v>
      </c>
      <c r="Z50" s="33" t="s">
        <v>98</v>
      </c>
      <c r="AA50" s="11" t="s">
        <v>45</v>
      </c>
      <c r="AB50" s="11" t="s">
        <v>25</v>
      </c>
      <c r="AC50" s="11" t="s">
        <v>24</v>
      </c>
      <c r="AD50" s="11" t="s">
        <v>26</v>
      </c>
      <c r="AE50" s="182" t="s">
        <v>163</v>
      </c>
      <c r="AF50" s="11" t="s">
        <v>164</v>
      </c>
      <c r="AG50" s="11" t="s">
        <v>180</v>
      </c>
      <c r="AH50" s="11" t="s">
        <v>189</v>
      </c>
      <c r="AI50" s="33" t="s">
        <v>77</v>
      </c>
      <c r="AJ50" s="11" t="s">
        <v>80</v>
      </c>
      <c r="AK50" s="11" t="s">
        <v>0</v>
      </c>
      <c r="AL50" s="11" t="s">
        <v>1</v>
      </c>
      <c r="AM50" s="11" t="s">
        <v>34</v>
      </c>
      <c r="AN50" s="11" t="s">
        <v>2</v>
      </c>
      <c r="AO50" s="11" t="s">
        <v>198</v>
      </c>
      <c r="AP50" s="11" t="s">
        <v>3</v>
      </c>
      <c r="AQ50" s="11" t="s">
        <v>97</v>
      </c>
      <c r="AR50" s="33" t="s">
        <v>122</v>
      </c>
      <c r="AS50" s="33" t="s">
        <v>123</v>
      </c>
      <c r="AT50" s="33" t="s">
        <v>98</v>
      </c>
      <c r="AU50" s="11" t="s">
        <v>45</v>
      </c>
      <c r="AV50" s="185" t="s">
        <v>200</v>
      </c>
      <c r="AW50" s="11" t="s">
        <v>24</v>
      </c>
      <c r="AX50" s="11" t="s">
        <v>26</v>
      </c>
      <c r="AY50" s="11" t="s">
        <v>163</v>
      </c>
      <c r="AZ50" s="11" t="s">
        <v>164</v>
      </c>
      <c r="BA50" s="11" t="s">
        <v>180</v>
      </c>
      <c r="BB50" s="11" t="s">
        <v>199</v>
      </c>
      <c r="BC50" s="33" t="s">
        <v>77</v>
      </c>
      <c r="BD50" s="11" t="s">
        <v>80</v>
      </c>
      <c r="DC50" s="6"/>
      <c r="DE50" s="99"/>
    </row>
    <row r="51" spans="17:109" ht="19.5" customHeight="1">
      <c r="Q51" s="12">
        <v>1</v>
      </c>
      <c r="R51" s="7" t="s">
        <v>50</v>
      </c>
      <c r="S51" s="7" t="s">
        <v>5</v>
      </c>
      <c r="T51" s="8">
        <v>43830</v>
      </c>
      <c r="U51" s="171"/>
      <c r="V51" s="7">
        <v>2219.96</v>
      </c>
      <c r="W51" s="7"/>
      <c r="X51" s="7"/>
      <c r="Y51" s="7"/>
      <c r="Z51" s="7"/>
      <c r="AA51" s="17">
        <v>2219.96</v>
      </c>
      <c r="AB51" s="18">
        <v>0</v>
      </c>
      <c r="AC51" s="19">
        <v>0</v>
      </c>
      <c r="AD51" s="15">
        <v>0</v>
      </c>
      <c r="AE51" s="11">
        <v>0</v>
      </c>
      <c r="AF51" s="7">
        <v>0</v>
      </c>
      <c r="AG51" s="13">
        <v>0</v>
      </c>
      <c r="AH51" s="125">
        <v>-1305.86806185565</v>
      </c>
      <c r="AI51" s="22">
        <v>1</v>
      </c>
      <c r="AJ51" s="7" t="s">
        <v>39</v>
      </c>
      <c r="AK51" s="196">
        <v>1</v>
      </c>
      <c r="AL51" s="197" t="s">
        <v>50</v>
      </c>
      <c r="AM51" s="7" t="s">
        <v>5</v>
      </c>
      <c r="AN51" s="8">
        <v>43861</v>
      </c>
      <c r="AO51" s="171"/>
      <c r="AP51" s="14">
        <v>2219.96</v>
      </c>
      <c r="AQ51" s="14"/>
      <c r="AR51" s="7"/>
      <c r="AS51" s="7"/>
      <c r="AT51" s="7"/>
      <c r="AU51" s="17">
        <f>AP51+AQ51+AR51+AS51</f>
        <v>2219.96</v>
      </c>
      <c r="AV51" s="200">
        <f>AU51-AA51</f>
        <v>0</v>
      </c>
      <c r="AW51" s="19">
        <f>$V$37/$U$37*AV51</f>
        <v>0</v>
      </c>
      <c r="AX51" s="15">
        <f>AV51+AW51</f>
        <v>0</v>
      </c>
      <c r="AY51" s="11">
        <f>AX51*2.9</f>
        <v>0</v>
      </c>
      <c r="AZ51" s="14">
        <f>$AD$9/$AA$9*AY51</f>
        <v>0</v>
      </c>
      <c r="BA51" s="13">
        <f>AY51+AZ51</f>
        <v>0</v>
      </c>
      <c r="BB51" s="125">
        <f>AH51-AO51+BA51</f>
        <v>-1305.86806185565</v>
      </c>
      <c r="BC51" s="22">
        <v>1</v>
      </c>
      <c r="BD51" s="7" t="s">
        <v>39</v>
      </c>
      <c r="DC51" s="6"/>
      <c r="DE51" s="99"/>
    </row>
    <row r="52" spans="17:109" ht="19.5" customHeight="1">
      <c r="Q52" s="12">
        <v>2</v>
      </c>
      <c r="R52" s="7" t="s">
        <v>51</v>
      </c>
      <c r="S52" s="7" t="s">
        <v>145</v>
      </c>
      <c r="T52" s="8">
        <v>43830</v>
      </c>
      <c r="U52" s="171">
        <v>2000</v>
      </c>
      <c r="V52" s="7">
        <v>2337.14</v>
      </c>
      <c r="W52" s="7"/>
      <c r="X52" s="7">
        <v>10906.67</v>
      </c>
      <c r="Y52" s="7"/>
      <c r="Z52" s="7">
        <v>6694.61</v>
      </c>
      <c r="AA52" s="17">
        <v>13243.81</v>
      </c>
      <c r="AB52" s="18">
        <v>433.02999999999884</v>
      </c>
      <c r="AC52" s="19">
        <v>51.96359999999989</v>
      </c>
      <c r="AD52" s="15">
        <v>484.9935999999987</v>
      </c>
      <c r="AE52" s="11">
        <v>1406.4814399999962</v>
      </c>
      <c r="AF52" s="7">
        <v>-143.0701825813321</v>
      </c>
      <c r="AG52" s="13">
        <v>1263.411257418664</v>
      </c>
      <c r="AH52" s="125">
        <v>221.1768095702107</v>
      </c>
      <c r="AI52" s="22">
        <v>2</v>
      </c>
      <c r="AJ52" s="7" t="s">
        <v>39</v>
      </c>
      <c r="AK52" s="196">
        <v>2</v>
      </c>
      <c r="AL52" s="197" t="s">
        <v>51</v>
      </c>
      <c r="AM52" s="7" t="s">
        <v>145</v>
      </c>
      <c r="AN52" s="8">
        <v>43861</v>
      </c>
      <c r="AO52" s="171"/>
      <c r="AP52" s="14">
        <v>2732.98</v>
      </c>
      <c r="AQ52" s="14"/>
      <c r="AR52" s="7">
        <v>10906.67</v>
      </c>
      <c r="AS52" s="7"/>
      <c r="AT52" s="7">
        <v>6694.61</v>
      </c>
      <c r="AU52" s="17">
        <f aca="true" t="shared" si="2" ref="AU52:AU80">AP52+AQ52+AR52+AS52</f>
        <v>13639.65</v>
      </c>
      <c r="AV52" s="200">
        <f aca="true" t="shared" si="3" ref="AV52:AV80">AU52-AA52</f>
        <v>395.84000000000015</v>
      </c>
      <c r="AW52" s="19">
        <f aca="true" t="shared" si="4" ref="AW52:AW80">$V$37/$U$37*AV52</f>
        <v>47.50080000000004</v>
      </c>
      <c r="AX52" s="15">
        <f aca="true" t="shared" si="5" ref="AX52:AX80">AV52+AW52</f>
        <v>443.3408000000002</v>
      </c>
      <c r="AY52" s="11">
        <f aca="true" t="shared" si="6" ref="AY52:AY80">AX52*2.9</f>
        <v>1285.6883200000004</v>
      </c>
      <c r="AZ52" s="14">
        <f aca="true" t="shared" si="7" ref="AZ52:AZ80">$AD$9/$AA$9*AY52</f>
        <v>-137.19890151186704</v>
      </c>
      <c r="BA52" s="13">
        <f aca="true" t="shared" si="8" ref="BA52:BA80">AY52+AZ52</f>
        <v>1148.4894184881334</v>
      </c>
      <c r="BB52" s="125">
        <f aca="true" t="shared" si="9" ref="BB52:BB80">AH52-AO52+BA52</f>
        <v>1369.6662280583441</v>
      </c>
      <c r="BC52" s="22">
        <v>2</v>
      </c>
      <c r="BD52" s="7" t="s">
        <v>39</v>
      </c>
      <c r="DC52" s="6"/>
      <c r="DE52" s="99"/>
    </row>
    <row r="53" spans="17:109" ht="19.5" customHeight="1">
      <c r="Q53" s="12">
        <v>3</v>
      </c>
      <c r="R53" s="7" t="s">
        <v>52</v>
      </c>
      <c r="S53" s="7" t="s">
        <v>22</v>
      </c>
      <c r="T53" s="8">
        <v>43830</v>
      </c>
      <c r="U53" s="171"/>
      <c r="V53" s="7">
        <v>18.17</v>
      </c>
      <c r="W53" s="7"/>
      <c r="X53" s="7"/>
      <c r="Y53" s="7"/>
      <c r="Z53" s="7"/>
      <c r="AA53" s="17">
        <v>18.17</v>
      </c>
      <c r="AB53" s="18">
        <v>0.010000000000001563</v>
      </c>
      <c r="AC53" s="19">
        <v>0.0012000000000001883</v>
      </c>
      <c r="AD53" s="15">
        <v>0.011200000000001752</v>
      </c>
      <c r="AE53" s="11">
        <v>0.03248000000000508</v>
      </c>
      <c r="AF53" s="7">
        <v>-0.0033039323506767397</v>
      </c>
      <c r="AG53" s="13">
        <v>0.02917606764932834</v>
      </c>
      <c r="AH53" s="125">
        <v>-17.06215296743186</v>
      </c>
      <c r="AI53" s="22">
        <v>1</v>
      </c>
      <c r="AJ53" s="7" t="s">
        <v>39</v>
      </c>
      <c r="AK53" s="196">
        <v>3</v>
      </c>
      <c r="AL53" s="197" t="s">
        <v>52</v>
      </c>
      <c r="AM53" s="7" t="s">
        <v>22</v>
      </c>
      <c r="AN53" s="8">
        <v>43861</v>
      </c>
      <c r="AO53" s="171"/>
      <c r="AP53" s="14">
        <v>18.19</v>
      </c>
      <c r="AQ53" s="14"/>
      <c r="AR53" s="7"/>
      <c r="AS53" s="7"/>
      <c r="AT53" s="7"/>
      <c r="AU53" s="17">
        <f t="shared" si="2"/>
        <v>18.19</v>
      </c>
      <c r="AV53" s="200">
        <f t="shared" si="3"/>
        <v>0.019999999999999574</v>
      </c>
      <c r="AW53" s="19">
        <f t="shared" si="4"/>
        <v>0.00239999999999995</v>
      </c>
      <c r="AX53" s="15">
        <f t="shared" si="5"/>
        <v>0.022399999999999524</v>
      </c>
      <c r="AY53" s="11">
        <f t="shared" si="6"/>
        <v>0.06495999999999862</v>
      </c>
      <c r="AZ53" s="14">
        <f t="shared" si="7"/>
        <v>-0.00693203827363905</v>
      </c>
      <c r="BA53" s="13">
        <f t="shared" si="8"/>
        <v>0.058027961726359566</v>
      </c>
      <c r="BB53" s="125">
        <f t="shared" si="9"/>
        <v>-17.0041250057055</v>
      </c>
      <c r="BC53" s="22">
        <v>1</v>
      </c>
      <c r="BD53" s="7" t="s">
        <v>39</v>
      </c>
      <c r="DC53" s="6"/>
      <c r="DE53" s="99"/>
    </row>
    <row r="54" spans="17:109" ht="19.5" customHeight="1">
      <c r="Q54" s="12">
        <v>4</v>
      </c>
      <c r="R54" s="7" t="s">
        <v>53</v>
      </c>
      <c r="S54" s="7" t="s">
        <v>7</v>
      </c>
      <c r="T54" s="8">
        <v>43830</v>
      </c>
      <c r="U54" s="171">
        <v>600</v>
      </c>
      <c r="V54" s="7">
        <v>1164.19</v>
      </c>
      <c r="W54" s="7"/>
      <c r="X54" s="7"/>
      <c r="Y54" s="7"/>
      <c r="Z54" s="7"/>
      <c r="AA54" s="17">
        <v>1164.19</v>
      </c>
      <c r="AB54" s="18">
        <v>4.650000000000091</v>
      </c>
      <c r="AC54" s="19">
        <v>0.5580000000000113</v>
      </c>
      <c r="AD54" s="15">
        <v>5.208000000000102</v>
      </c>
      <c r="AE54" s="11">
        <v>15.103200000000296</v>
      </c>
      <c r="AF54" s="7">
        <v>-1.5363285430644738</v>
      </c>
      <c r="AG54" s="13">
        <v>13.566871456935822</v>
      </c>
      <c r="AH54" s="125">
        <v>-116.59379155157364</v>
      </c>
      <c r="AI54" s="22">
        <v>1</v>
      </c>
      <c r="AJ54" s="7" t="s">
        <v>39</v>
      </c>
      <c r="AK54" s="196">
        <v>4</v>
      </c>
      <c r="AL54" s="197" t="s">
        <v>53</v>
      </c>
      <c r="AM54" s="7" t="s">
        <v>7</v>
      </c>
      <c r="AN54" s="8">
        <v>43861</v>
      </c>
      <c r="AO54" s="171"/>
      <c r="AP54" s="14">
        <v>1169.54</v>
      </c>
      <c r="AQ54" s="14"/>
      <c r="AR54" s="7"/>
      <c r="AS54" s="7"/>
      <c r="AT54" s="7"/>
      <c r="AU54" s="17">
        <f t="shared" si="2"/>
        <v>1169.54</v>
      </c>
      <c r="AV54" s="200">
        <f t="shared" si="3"/>
        <v>5.349999999999909</v>
      </c>
      <c r="AW54" s="19">
        <f t="shared" si="4"/>
        <v>0.6419999999999894</v>
      </c>
      <c r="AX54" s="15">
        <f t="shared" si="5"/>
        <v>5.991999999999899</v>
      </c>
      <c r="AY54" s="11">
        <f t="shared" si="6"/>
        <v>17.376799999999704</v>
      </c>
      <c r="AZ54" s="14">
        <f t="shared" si="7"/>
        <v>-1.8543202381984538</v>
      </c>
      <c r="BA54" s="13">
        <f t="shared" si="8"/>
        <v>15.52247976180125</v>
      </c>
      <c r="BB54" s="125">
        <f t="shared" si="9"/>
        <v>-101.0713117897724</v>
      </c>
      <c r="BC54" s="22">
        <v>1</v>
      </c>
      <c r="BD54" s="7" t="s">
        <v>39</v>
      </c>
      <c r="DC54" s="6"/>
      <c r="DE54" s="99"/>
    </row>
    <row r="55" spans="17:109" ht="19.5" customHeight="1">
      <c r="Q55" s="12">
        <v>5</v>
      </c>
      <c r="R55" s="7" t="s">
        <v>83</v>
      </c>
      <c r="S55" s="7" t="s">
        <v>84</v>
      </c>
      <c r="T55" s="8">
        <v>43830</v>
      </c>
      <c r="U55" s="171">
        <v>3500</v>
      </c>
      <c r="V55" s="7">
        <v>8163.68</v>
      </c>
      <c r="W55" s="7"/>
      <c r="X55" s="7"/>
      <c r="Y55" s="7"/>
      <c r="Z55" s="7">
        <v>9664.83</v>
      </c>
      <c r="AA55" s="17">
        <v>8163.68</v>
      </c>
      <c r="AB55" s="18">
        <v>592.6100000000006</v>
      </c>
      <c r="AC55" s="19">
        <v>71.11320000000012</v>
      </c>
      <c r="AD55" s="15">
        <v>663.7232000000007</v>
      </c>
      <c r="AE55" s="11">
        <v>1924.797280000002</v>
      </c>
      <c r="AF55" s="7">
        <v>-195.79433503342386</v>
      </c>
      <c r="AG55" s="13">
        <v>1729.002944966578</v>
      </c>
      <c r="AH55" s="125">
        <v>-2325.9709225298493</v>
      </c>
      <c r="AI55" s="22">
        <v>2</v>
      </c>
      <c r="AJ55" s="7" t="s">
        <v>39</v>
      </c>
      <c r="AK55" s="196">
        <v>5</v>
      </c>
      <c r="AL55" s="197" t="s">
        <v>83</v>
      </c>
      <c r="AM55" s="7" t="s">
        <v>84</v>
      </c>
      <c r="AN55" s="8">
        <v>43861</v>
      </c>
      <c r="AO55" s="171">
        <v>-325.97</v>
      </c>
      <c r="AP55" s="14">
        <v>8782.880000000001</v>
      </c>
      <c r="AQ55" s="14"/>
      <c r="AR55" s="7"/>
      <c r="AS55" s="7"/>
      <c r="AT55" s="7">
        <v>9664.83</v>
      </c>
      <c r="AU55" s="17">
        <f t="shared" si="2"/>
        <v>8782.880000000001</v>
      </c>
      <c r="AV55" s="200">
        <f t="shared" si="3"/>
        <v>619.2000000000007</v>
      </c>
      <c r="AW55" s="19">
        <f t="shared" si="4"/>
        <v>74.30400000000012</v>
      </c>
      <c r="AX55" s="15">
        <f t="shared" si="5"/>
        <v>693.5040000000008</v>
      </c>
      <c r="AY55" s="11">
        <f t="shared" si="6"/>
        <v>2011.1616000000024</v>
      </c>
      <c r="AZ55" s="14">
        <f t="shared" si="7"/>
        <v>-214.61590495186982</v>
      </c>
      <c r="BA55" s="13">
        <f t="shared" si="8"/>
        <v>1796.5456950481325</v>
      </c>
      <c r="BB55" s="125">
        <f t="shared" si="9"/>
        <v>-203.45522748171675</v>
      </c>
      <c r="BC55" s="22">
        <v>2</v>
      </c>
      <c r="BD55" s="7" t="s">
        <v>39</v>
      </c>
      <c r="DC55" s="6"/>
      <c r="DE55" s="99"/>
    </row>
    <row r="56" spans="17:109" ht="19.5" customHeight="1">
      <c r="Q56" s="12">
        <v>6</v>
      </c>
      <c r="R56" s="7" t="s">
        <v>54</v>
      </c>
      <c r="S56" s="7" t="s">
        <v>47</v>
      </c>
      <c r="T56" s="8">
        <v>43830</v>
      </c>
      <c r="U56" s="171">
        <v>2258</v>
      </c>
      <c r="V56" s="7">
        <v>18274.96</v>
      </c>
      <c r="W56" s="7"/>
      <c r="X56" s="7"/>
      <c r="Y56" s="7"/>
      <c r="Z56" s="7">
        <v>8268.33</v>
      </c>
      <c r="AA56" s="17">
        <v>18274.96</v>
      </c>
      <c r="AB56" s="18">
        <v>480.52000000000044</v>
      </c>
      <c r="AC56" s="19">
        <v>57.66240000000009</v>
      </c>
      <c r="AD56" s="15">
        <v>538.1824000000005</v>
      </c>
      <c r="AE56" s="11">
        <v>1560.7289600000013</v>
      </c>
      <c r="AF56" s="7">
        <v>-158.76055731469398</v>
      </c>
      <c r="AG56" s="13">
        <v>1401.9684026853074</v>
      </c>
      <c r="AH56" s="125">
        <v>1401.7276053982969</v>
      </c>
      <c r="AI56" s="22">
        <v>2</v>
      </c>
      <c r="AJ56" s="7" t="s">
        <v>39</v>
      </c>
      <c r="AK56" s="196">
        <v>6</v>
      </c>
      <c r="AL56" s="197" t="s">
        <v>54</v>
      </c>
      <c r="AM56" s="7" t="s">
        <v>47</v>
      </c>
      <c r="AN56" s="8">
        <v>43861</v>
      </c>
      <c r="AO56" s="171"/>
      <c r="AP56" s="14">
        <v>18776.97</v>
      </c>
      <c r="AQ56" s="14"/>
      <c r="AR56" s="7"/>
      <c r="AS56" s="7"/>
      <c r="AT56" s="7">
        <v>8268.33</v>
      </c>
      <c r="AU56" s="17">
        <f t="shared" si="2"/>
        <v>18776.97</v>
      </c>
      <c r="AV56" s="200">
        <f t="shared" si="3"/>
        <v>502.01000000000204</v>
      </c>
      <c r="AW56" s="19">
        <f t="shared" si="4"/>
        <v>60.24120000000027</v>
      </c>
      <c r="AX56" s="15">
        <f t="shared" si="5"/>
        <v>562.2512000000023</v>
      </c>
      <c r="AY56" s="11">
        <f t="shared" si="6"/>
        <v>1630.5284800000068</v>
      </c>
      <c r="AZ56" s="14">
        <f t="shared" si="7"/>
        <v>-173.99762668748141</v>
      </c>
      <c r="BA56" s="13">
        <f t="shared" si="8"/>
        <v>1456.5308533125253</v>
      </c>
      <c r="BB56" s="125">
        <f t="shared" si="9"/>
        <v>2858.258458710822</v>
      </c>
      <c r="BC56" s="22">
        <v>2</v>
      </c>
      <c r="BD56" s="7" t="s">
        <v>39</v>
      </c>
      <c r="DC56" s="6"/>
      <c r="DE56" s="99"/>
    </row>
    <row r="57" spans="17:109" ht="19.5" customHeight="1">
      <c r="Q57" s="12">
        <v>7</v>
      </c>
      <c r="R57" s="7" t="s">
        <v>55</v>
      </c>
      <c r="S57" s="7" t="s">
        <v>79</v>
      </c>
      <c r="T57" s="8">
        <v>43830</v>
      </c>
      <c r="U57" s="171"/>
      <c r="V57" s="7">
        <v>3526.94</v>
      </c>
      <c r="W57" s="7"/>
      <c r="X57" s="7"/>
      <c r="Y57" s="7"/>
      <c r="Z57" s="7">
        <v>-1433.3799999999999</v>
      </c>
      <c r="AA57" s="17">
        <v>3526.94</v>
      </c>
      <c r="AB57" s="18">
        <v>0</v>
      </c>
      <c r="AC57" s="19">
        <v>0</v>
      </c>
      <c r="AD57" s="15">
        <v>0</v>
      </c>
      <c r="AE57" s="11">
        <v>0</v>
      </c>
      <c r="AF57" s="7">
        <v>0</v>
      </c>
      <c r="AG57" s="13">
        <v>0</v>
      </c>
      <c r="AH57" s="125">
        <v>-289.173760573594</v>
      </c>
      <c r="AI57" s="22">
        <v>2</v>
      </c>
      <c r="AJ57" s="7" t="s">
        <v>39</v>
      </c>
      <c r="AK57" s="196">
        <v>7</v>
      </c>
      <c r="AL57" s="197" t="s">
        <v>55</v>
      </c>
      <c r="AM57" s="7" t="s">
        <v>79</v>
      </c>
      <c r="AN57" s="8">
        <v>43861</v>
      </c>
      <c r="AO57" s="171"/>
      <c r="AP57" s="14">
        <v>3526.94</v>
      </c>
      <c r="AQ57" s="14"/>
      <c r="AR57" s="7"/>
      <c r="AS57" s="7"/>
      <c r="AT57" s="7">
        <v>-1433.3799999999999</v>
      </c>
      <c r="AU57" s="17">
        <f t="shared" si="2"/>
        <v>3526.94</v>
      </c>
      <c r="AV57" s="200">
        <f t="shared" si="3"/>
        <v>0</v>
      </c>
      <c r="AW57" s="19">
        <f t="shared" si="4"/>
        <v>0</v>
      </c>
      <c r="AX57" s="15">
        <f t="shared" si="5"/>
        <v>0</v>
      </c>
      <c r="AY57" s="11">
        <f t="shared" si="6"/>
        <v>0</v>
      </c>
      <c r="AZ57" s="14">
        <f t="shared" si="7"/>
        <v>0</v>
      </c>
      <c r="BA57" s="13">
        <f t="shared" si="8"/>
        <v>0</v>
      </c>
      <c r="BB57" s="125">
        <f t="shared" si="9"/>
        <v>-289.173760573594</v>
      </c>
      <c r="BC57" s="22">
        <v>2</v>
      </c>
      <c r="BD57" s="7" t="s">
        <v>39</v>
      </c>
      <c r="DC57" s="6"/>
      <c r="DE57" s="99"/>
    </row>
    <row r="58" spans="17:109" ht="19.5" customHeight="1">
      <c r="Q58" s="12">
        <v>8</v>
      </c>
      <c r="R58" s="7" t="s">
        <v>56</v>
      </c>
      <c r="S58" s="7" t="s">
        <v>14</v>
      </c>
      <c r="T58" s="8">
        <v>43830</v>
      </c>
      <c r="U58" s="171"/>
      <c r="V58" s="7">
        <v>3284.8</v>
      </c>
      <c r="W58" s="7"/>
      <c r="X58" s="7"/>
      <c r="Y58" s="7"/>
      <c r="Z58" s="7"/>
      <c r="AA58" s="17">
        <v>3284.8</v>
      </c>
      <c r="AB58" s="18">
        <v>19.26000000000022</v>
      </c>
      <c r="AC58" s="19">
        <v>2.311200000000028</v>
      </c>
      <c r="AD58" s="15">
        <v>21.571200000000246</v>
      </c>
      <c r="AE58" s="11">
        <v>62.55648000000071</v>
      </c>
      <c r="AF58" s="7">
        <v>-6.363373707402477</v>
      </c>
      <c r="AG58" s="13">
        <v>56.19310629259823</v>
      </c>
      <c r="AH58" s="125">
        <v>-84.14673877876075</v>
      </c>
      <c r="AI58" s="22">
        <v>1</v>
      </c>
      <c r="AJ58" s="7" t="s">
        <v>39</v>
      </c>
      <c r="AK58" s="196">
        <v>8</v>
      </c>
      <c r="AL58" s="197" t="s">
        <v>56</v>
      </c>
      <c r="AM58" s="7" t="s">
        <v>14</v>
      </c>
      <c r="AN58" s="8">
        <v>43861</v>
      </c>
      <c r="AO58" s="171"/>
      <c r="AP58" s="14">
        <v>3310.9500000000003</v>
      </c>
      <c r="AQ58" s="14"/>
      <c r="AR58" s="7"/>
      <c r="AS58" s="7"/>
      <c r="AT58" s="7"/>
      <c r="AU58" s="17">
        <f t="shared" si="2"/>
        <v>3310.9500000000003</v>
      </c>
      <c r="AV58" s="200">
        <f t="shared" si="3"/>
        <v>26.15000000000009</v>
      </c>
      <c r="AW58" s="19">
        <f t="shared" si="4"/>
        <v>3.1380000000000123</v>
      </c>
      <c r="AX58" s="15">
        <f t="shared" si="5"/>
        <v>29.288000000000103</v>
      </c>
      <c r="AY58" s="11">
        <f t="shared" si="6"/>
        <v>84.9352000000003</v>
      </c>
      <c r="AZ58" s="14">
        <f t="shared" si="7"/>
        <v>-9.063640042783282</v>
      </c>
      <c r="BA58" s="13">
        <f t="shared" si="8"/>
        <v>75.87155995721702</v>
      </c>
      <c r="BB58" s="125">
        <f t="shared" si="9"/>
        <v>-8.275178821543733</v>
      </c>
      <c r="BC58" s="22">
        <v>1</v>
      </c>
      <c r="BD58" s="7" t="s">
        <v>39</v>
      </c>
      <c r="DC58" s="6"/>
      <c r="DE58" s="99"/>
    </row>
    <row r="59" spans="17:109" ht="19.5" customHeight="1">
      <c r="Q59" s="12">
        <v>9</v>
      </c>
      <c r="R59" s="7" t="s">
        <v>57</v>
      </c>
      <c r="S59" s="7" t="s">
        <v>6</v>
      </c>
      <c r="T59" s="8">
        <v>43830</v>
      </c>
      <c r="U59" s="171">
        <v>500</v>
      </c>
      <c r="V59" s="7">
        <v>3366.71</v>
      </c>
      <c r="W59" s="7"/>
      <c r="X59" s="7"/>
      <c r="Y59" s="7"/>
      <c r="Z59" s="7"/>
      <c r="AA59" s="17">
        <v>3366.71</v>
      </c>
      <c r="AB59" s="18">
        <v>13.400000000000091</v>
      </c>
      <c r="AC59" s="19">
        <v>1.6080000000000119</v>
      </c>
      <c r="AD59" s="15">
        <v>15.008000000000102</v>
      </c>
      <c r="AE59" s="11">
        <v>43.523200000000294</v>
      </c>
      <c r="AF59" s="7">
        <v>-4.427269349906169</v>
      </c>
      <c r="AG59" s="13">
        <v>39.095930650094125</v>
      </c>
      <c r="AH59" s="125">
        <v>-42.68923787708879</v>
      </c>
      <c r="AI59" s="22">
        <v>1</v>
      </c>
      <c r="AJ59" s="7" t="s">
        <v>39</v>
      </c>
      <c r="AK59" s="196">
        <v>9</v>
      </c>
      <c r="AL59" s="197" t="s">
        <v>57</v>
      </c>
      <c r="AM59" s="7" t="s">
        <v>6</v>
      </c>
      <c r="AN59" s="8">
        <v>43861</v>
      </c>
      <c r="AO59" s="171"/>
      <c r="AP59" s="14">
        <v>3370.1</v>
      </c>
      <c r="AQ59" s="14"/>
      <c r="AR59" s="7"/>
      <c r="AS59" s="7"/>
      <c r="AT59" s="7"/>
      <c r="AU59" s="17">
        <f t="shared" si="2"/>
        <v>3370.1</v>
      </c>
      <c r="AV59" s="200">
        <f t="shared" si="3"/>
        <v>3.3899999999998727</v>
      </c>
      <c r="AW59" s="19">
        <f t="shared" si="4"/>
        <v>0.4067999999999849</v>
      </c>
      <c r="AX59" s="15">
        <f t="shared" si="5"/>
        <v>3.7967999999998576</v>
      </c>
      <c r="AY59" s="11">
        <f t="shared" si="6"/>
        <v>11.010719999999587</v>
      </c>
      <c r="AZ59" s="14">
        <f t="shared" si="7"/>
        <v>-1.1749804873818</v>
      </c>
      <c r="BA59" s="13">
        <f t="shared" si="8"/>
        <v>9.835739512617787</v>
      </c>
      <c r="BB59" s="125">
        <f t="shared" si="9"/>
        <v>-32.85349836447101</v>
      </c>
      <c r="BC59" s="22">
        <v>1</v>
      </c>
      <c r="BD59" s="7" t="s">
        <v>39</v>
      </c>
      <c r="DC59" s="6"/>
      <c r="DE59" s="99"/>
    </row>
    <row r="60" spans="17:109" ht="19.5" customHeight="1">
      <c r="Q60" s="12">
        <v>10</v>
      </c>
      <c r="R60" s="7" t="s">
        <v>85</v>
      </c>
      <c r="S60" s="7" t="s">
        <v>86</v>
      </c>
      <c r="T60" s="8">
        <v>43830</v>
      </c>
      <c r="U60" s="171">
        <v>500</v>
      </c>
      <c r="V60" s="7">
        <v>1427.14</v>
      </c>
      <c r="W60" s="7"/>
      <c r="X60" s="7"/>
      <c r="Y60" s="7"/>
      <c r="Z60" s="7">
        <v>301.4</v>
      </c>
      <c r="AA60" s="17">
        <v>1427.14</v>
      </c>
      <c r="AB60" s="18">
        <v>0</v>
      </c>
      <c r="AC60" s="19">
        <v>0</v>
      </c>
      <c r="AD60" s="15">
        <v>0</v>
      </c>
      <c r="AE60" s="11">
        <v>0</v>
      </c>
      <c r="AF60" s="7">
        <v>0</v>
      </c>
      <c r="AG60" s="13">
        <v>0</v>
      </c>
      <c r="AH60" s="125">
        <v>-114.95431345041288</v>
      </c>
      <c r="AI60" s="22">
        <v>2</v>
      </c>
      <c r="AJ60" s="7" t="s">
        <v>39</v>
      </c>
      <c r="AK60" s="196">
        <v>10</v>
      </c>
      <c r="AL60" s="197" t="s">
        <v>85</v>
      </c>
      <c r="AM60" s="7" t="s">
        <v>86</v>
      </c>
      <c r="AN60" s="8">
        <v>43861</v>
      </c>
      <c r="AO60" s="171"/>
      <c r="AP60" s="14">
        <v>1427.14</v>
      </c>
      <c r="AQ60" s="14"/>
      <c r="AR60" s="7"/>
      <c r="AS60" s="7"/>
      <c r="AT60" s="7">
        <v>301.4</v>
      </c>
      <c r="AU60" s="17">
        <f t="shared" si="2"/>
        <v>1427.14</v>
      </c>
      <c r="AV60" s="200">
        <f t="shared" si="3"/>
        <v>0</v>
      </c>
      <c r="AW60" s="19">
        <f t="shared" si="4"/>
        <v>0</v>
      </c>
      <c r="AX60" s="15">
        <f t="shared" si="5"/>
        <v>0</v>
      </c>
      <c r="AY60" s="11">
        <f t="shared" si="6"/>
        <v>0</v>
      </c>
      <c r="AZ60" s="14">
        <f t="shared" si="7"/>
        <v>0</v>
      </c>
      <c r="BA60" s="13">
        <f t="shared" si="8"/>
        <v>0</v>
      </c>
      <c r="BB60" s="125">
        <f t="shared" si="9"/>
        <v>-114.95431345041288</v>
      </c>
      <c r="BC60" s="22">
        <v>2</v>
      </c>
      <c r="BD60" s="7" t="s">
        <v>39</v>
      </c>
      <c r="DC60" s="6"/>
      <c r="DE60" s="99"/>
    </row>
    <row r="61" spans="17:109" ht="19.5" customHeight="1">
      <c r="Q61" s="12">
        <v>11</v>
      </c>
      <c r="R61" s="7" t="s">
        <v>58</v>
      </c>
      <c r="S61" s="7" t="s">
        <v>35</v>
      </c>
      <c r="T61" s="8">
        <v>43830</v>
      </c>
      <c r="U61" s="171">
        <v>1202.79</v>
      </c>
      <c r="V61" s="7">
        <v>22816.05</v>
      </c>
      <c r="W61" s="7"/>
      <c r="X61" s="7"/>
      <c r="Y61" s="7"/>
      <c r="Z61" s="7">
        <v>4241.21</v>
      </c>
      <c r="AA61" s="17">
        <v>22816.05</v>
      </c>
      <c r="AB61" s="18">
        <v>547.0999999999985</v>
      </c>
      <c r="AC61" s="19">
        <v>65.65199999999987</v>
      </c>
      <c r="AD61" s="15">
        <v>612.7519999999984</v>
      </c>
      <c r="AE61" s="11">
        <v>1776.9807999999953</v>
      </c>
      <c r="AF61" s="7">
        <v>-180.75813890549568</v>
      </c>
      <c r="AG61" s="13">
        <v>1596.2226610944995</v>
      </c>
      <c r="AH61" s="125">
        <v>1596.2133945476721</v>
      </c>
      <c r="AI61" s="22">
        <v>2</v>
      </c>
      <c r="AJ61" s="7" t="s">
        <v>39</v>
      </c>
      <c r="AK61" s="196">
        <v>11</v>
      </c>
      <c r="AL61" s="197" t="s">
        <v>58</v>
      </c>
      <c r="AM61" s="7" t="s">
        <v>35</v>
      </c>
      <c r="AN61" s="8">
        <v>43861</v>
      </c>
      <c r="AO61" s="171">
        <v>1596.22</v>
      </c>
      <c r="AP61" s="14">
        <v>23299.32</v>
      </c>
      <c r="AQ61" s="14"/>
      <c r="AR61" s="7"/>
      <c r="AS61" s="7"/>
      <c r="AT61" s="7">
        <v>4241.21</v>
      </c>
      <c r="AU61" s="17">
        <f t="shared" si="2"/>
        <v>23299.32</v>
      </c>
      <c r="AV61" s="200">
        <f t="shared" si="3"/>
        <v>483.27000000000044</v>
      </c>
      <c r="AW61" s="19">
        <f t="shared" si="4"/>
        <v>57.992400000000075</v>
      </c>
      <c r="AX61" s="15">
        <f t="shared" si="5"/>
        <v>541.2624000000005</v>
      </c>
      <c r="AY61" s="11">
        <f t="shared" si="6"/>
        <v>1569.6609600000015</v>
      </c>
      <c r="AZ61" s="14">
        <f t="shared" si="7"/>
        <v>-167.50230682508092</v>
      </c>
      <c r="BA61" s="13">
        <f t="shared" si="8"/>
        <v>1402.1586531749206</v>
      </c>
      <c r="BB61" s="125">
        <f t="shared" si="9"/>
        <v>1402.1520477225927</v>
      </c>
      <c r="BC61" s="22">
        <v>2</v>
      </c>
      <c r="BD61" s="7" t="s">
        <v>39</v>
      </c>
      <c r="DC61" s="6"/>
      <c r="DE61" s="99"/>
    </row>
    <row r="62" spans="17:109" ht="19.5" customHeight="1">
      <c r="Q62" s="12">
        <v>12</v>
      </c>
      <c r="R62" s="7" t="s">
        <v>59</v>
      </c>
      <c r="S62" s="7" t="s">
        <v>11</v>
      </c>
      <c r="T62" s="8">
        <v>43830</v>
      </c>
      <c r="U62" s="171"/>
      <c r="V62" s="7">
        <v>6114.71</v>
      </c>
      <c r="W62" s="7"/>
      <c r="X62" s="7"/>
      <c r="Y62" s="7"/>
      <c r="Z62" s="7"/>
      <c r="AA62" s="17">
        <v>6114.71</v>
      </c>
      <c r="AB62" s="18">
        <v>68.80999999999949</v>
      </c>
      <c r="AC62" s="19">
        <v>8.257199999999944</v>
      </c>
      <c r="AD62" s="15">
        <v>77.06719999999943</v>
      </c>
      <c r="AE62" s="11">
        <v>223.49487999999835</v>
      </c>
      <c r="AF62" s="7">
        <v>-22.73435850500292</v>
      </c>
      <c r="AG62" s="13">
        <v>200.76052149499543</v>
      </c>
      <c r="AH62" s="125">
        <v>-1072.543865688866</v>
      </c>
      <c r="AI62" s="22">
        <v>1</v>
      </c>
      <c r="AJ62" s="7" t="s">
        <v>39</v>
      </c>
      <c r="AK62" s="196">
        <v>12</v>
      </c>
      <c r="AL62" s="197" t="s">
        <v>59</v>
      </c>
      <c r="AM62" s="7" t="s">
        <v>11</v>
      </c>
      <c r="AN62" s="8">
        <v>43861</v>
      </c>
      <c r="AO62" s="171"/>
      <c r="AP62" s="14">
        <v>6203.79</v>
      </c>
      <c r="AQ62" s="14"/>
      <c r="AR62" s="7"/>
      <c r="AS62" s="7"/>
      <c r="AT62" s="7"/>
      <c r="AU62" s="17">
        <f t="shared" si="2"/>
        <v>6203.79</v>
      </c>
      <c r="AV62" s="200">
        <f t="shared" si="3"/>
        <v>89.07999999999993</v>
      </c>
      <c r="AW62" s="19">
        <f t="shared" si="4"/>
        <v>10.689599999999995</v>
      </c>
      <c r="AX62" s="15">
        <f t="shared" si="5"/>
        <v>99.76959999999993</v>
      </c>
      <c r="AY62" s="11">
        <f t="shared" si="6"/>
        <v>289.3318399999998</v>
      </c>
      <c r="AZ62" s="14">
        <f t="shared" si="7"/>
        <v>-30.875298470788962</v>
      </c>
      <c r="BA62" s="13">
        <f t="shared" si="8"/>
        <v>258.4565415292108</v>
      </c>
      <c r="BB62" s="125">
        <f t="shared" si="9"/>
        <v>-814.087324159655</v>
      </c>
      <c r="BC62" s="22">
        <v>1</v>
      </c>
      <c r="BD62" s="7" t="s">
        <v>39</v>
      </c>
      <c r="DC62" s="6"/>
      <c r="DE62" s="99"/>
    </row>
    <row r="63" spans="17:109" ht="19.5" customHeight="1">
      <c r="Q63" s="12">
        <v>13</v>
      </c>
      <c r="R63" s="7" t="s">
        <v>60</v>
      </c>
      <c r="S63" s="7" t="s">
        <v>9</v>
      </c>
      <c r="T63" s="8">
        <v>43830</v>
      </c>
      <c r="U63" s="171">
        <v>3000</v>
      </c>
      <c r="V63" s="7">
        <v>33421.32</v>
      </c>
      <c r="W63" s="7"/>
      <c r="X63" s="7"/>
      <c r="Y63" s="7"/>
      <c r="Z63" s="7"/>
      <c r="AA63" s="17">
        <v>33421.32</v>
      </c>
      <c r="AB63" s="18">
        <v>602.2299999999959</v>
      </c>
      <c r="AC63" s="19">
        <v>72.26759999999956</v>
      </c>
      <c r="AD63" s="15">
        <v>674.4975999999955</v>
      </c>
      <c r="AE63" s="11">
        <v>1956.0430399999868</v>
      </c>
      <c r="AF63" s="7">
        <v>-198.97271795477283</v>
      </c>
      <c r="AG63" s="13">
        <v>1757.070322045214</v>
      </c>
      <c r="AH63" s="125">
        <v>-1104.9958816567425</v>
      </c>
      <c r="AI63" s="22">
        <v>1</v>
      </c>
      <c r="AJ63" s="7" t="s">
        <v>39</v>
      </c>
      <c r="AK63" s="196">
        <v>13</v>
      </c>
      <c r="AL63" s="197" t="s">
        <v>60</v>
      </c>
      <c r="AM63" s="7" t="s">
        <v>9</v>
      </c>
      <c r="AN63" s="8">
        <v>43861</v>
      </c>
      <c r="AO63" s="171"/>
      <c r="AP63" s="14">
        <v>34087.18</v>
      </c>
      <c r="AQ63" s="14"/>
      <c r="AR63" s="7"/>
      <c r="AS63" s="7"/>
      <c r="AT63" s="7"/>
      <c r="AU63" s="17">
        <f t="shared" si="2"/>
        <v>34087.18</v>
      </c>
      <c r="AV63" s="200">
        <f t="shared" si="3"/>
        <v>665.8600000000006</v>
      </c>
      <c r="AW63" s="19">
        <f t="shared" si="4"/>
        <v>79.9032000000001</v>
      </c>
      <c r="AX63" s="15">
        <f t="shared" si="5"/>
        <v>745.7632000000007</v>
      </c>
      <c r="AY63" s="11">
        <f t="shared" si="6"/>
        <v>2162.7132800000018</v>
      </c>
      <c r="AZ63" s="14">
        <f t="shared" si="7"/>
        <v>-230.78835024427</v>
      </c>
      <c r="BA63" s="13">
        <f t="shared" si="8"/>
        <v>1931.9249297557317</v>
      </c>
      <c r="BB63" s="125">
        <f t="shared" si="9"/>
        <v>826.9290480989891</v>
      </c>
      <c r="BC63" s="22">
        <v>1</v>
      </c>
      <c r="BD63" s="7" t="s">
        <v>39</v>
      </c>
      <c r="DC63" s="6"/>
      <c r="DE63" s="99"/>
    </row>
    <row r="64" spans="17:109" ht="19.5" customHeight="1">
      <c r="Q64" s="12">
        <v>14</v>
      </c>
      <c r="R64" s="7" t="s">
        <v>61</v>
      </c>
      <c r="S64" s="7" t="s">
        <v>16</v>
      </c>
      <c r="T64" s="8">
        <v>43830</v>
      </c>
      <c r="U64" s="171"/>
      <c r="V64" s="7">
        <v>2116.41</v>
      </c>
      <c r="W64" s="7"/>
      <c r="X64" s="7"/>
      <c r="Y64" s="7"/>
      <c r="Z64" s="7"/>
      <c r="AA64" s="17">
        <v>2116.41</v>
      </c>
      <c r="AB64" s="18">
        <v>13.019999999999982</v>
      </c>
      <c r="AC64" s="19">
        <v>1.562399999999999</v>
      </c>
      <c r="AD64" s="15">
        <v>14.58239999999998</v>
      </c>
      <c r="AE64" s="11">
        <v>42.28895999999994</v>
      </c>
      <c r="AF64" s="7">
        <v>-4.301719920580436</v>
      </c>
      <c r="AG64" s="13">
        <v>37.9872400794195</v>
      </c>
      <c r="AH64" s="125">
        <v>-318.9641774308003</v>
      </c>
      <c r="AI64" s="22">
        <v>1</v>
      </c>
      <c r="AJ64" s="7" t="s">
        <v>39</v>
      </c>
      <c r="AK64" s="196">
        <v>14</v>
      </c>
      <c r="AL64" s="197" t="s">
        <v>61</v>
      </c>
      <c r="AM64" s="7" t="s">
        <v>16</v>
      </c>
      <c r="AN64" s="8">
        <v>43861</v>
      </c>
      <c r="AO64" s="171"/>
      <c r="AP64" s="14">
        <v>2116.93</v>
      </c>
      <c r="AQ64" s="14"/>
      <c r="AR64" s="7"/>
      <c r="AS64" s="7"/>
      <c r="AT64" s="7"/>
      <c r="AU64" s="17">
        <f t="shared" si="2"/>
        <v>2116.93</v>
      </c>
      <c r="AV64" s="200">
        <f t="shared" si="3"/>
        <v>0.5199999999999818</v>
      </c>
      <c r="AW64" s="19">
        <f t="shared" si="4"/>
        <v>0.062399999999997846</v>
      </c>
      <c r="AX64" s="15">
        <f t="shared" si="5"/>
        <v>0.5823999999999796</v>
      </c>
      <c r="AY64" s="11">
        <f t="shared" si="6"/>
        <v>1.6889599999999407</v>
      </c>
      <c r="AZ64" s="14">
        <f t="shared" si="7"/>
        <v>-0.18023299511461283</v>
      </c>
      <c r="BA64" s="13">
        <f t="shared" si="8"/>
        <v>1.5087270048853278</v>
      </c>
      <c r="BB64" s="125">
        <f t="shared" si="9"/>
        <v>-317.455450425915</v>
      </c>
      <c r="BC64" s="22">
        <v>1</v>
      </c>
      <c r="BD64" s="7" t="s">
        <v>39</v>
      </c>
      <c r="DC64" s="6"/>
      <c r="DE64" s="99"/>
    </row>
    <row r="65" spans="17:109" ht="19.5" customHeight="1">
      <c r="Q65" s="12">
        <v>15</v>
      </c>
      <c r="R65" s="7" t="s">
        <v>62</v>
      </c>
      <c r="S65" s="7" t="s">
        <v>48</v>
      </c>
      <c r="T65" s="8">
        <v>43830</v>
      </c>
      <c r="U65" s="171"/>
      <c r="V65" s="7">
        <v>17086.6</v>
      </c>
      <c r="W65" s="7"/>
      <c r="X65" s="7"/>
      <c r="Y65" s="7"/>
      <c r="Z65" s="7">
        <v>888.7200000000004</v>
      </c>
      <c r="AA65" s="17">
        <v>17086.6</v>
      </c>
      <c r="AB65" s="18">
        <v>257.8399999999965</v>
      </c>
      <c r="AC65" s="19">
        <v>30.9407999999996</v>
      </c>
      <c r="AD65" s="15">
        <v>288.78079999999613</v>
      </c>
      <c r="AE65" s="11">
        <v>837.4643199999888</v>
      </c>
      <c r="AF65" s="7">
        <v>-85.18859172983458</v>
      </c>
      <c r="AG65" s="13">
        <v>752.2757282701542</v>
      </c>
      <c r="AH65" s="125">
        <v>-6617.050827441125</v>
      </c>
      <c r="AI65" s="22">
        <v>2</v>
      </c>
      <c r="AJ65" s="7" t="s">
        <v>39</v>
      </c>
      <c r="AK65" s="196">
        <v>15</v>
      </c>
      <c r="AL65" s="197" t="s">
        <v>62</v>
      </c>
      <c r="AM65" s="7" t="s">
        <v>48</v>
      </c>
      <c r="AN65" s="8">
        <v>43861</v>
      </c>
      <c r="AO65" s="171"/>
      <c r="AP65" s="14">
        <v>17374.6</v>
      </c>
      <c r="AQ65" s="14"/>
      <c r="AR65" s="7"/>
      <c r="AS65" s="7"/>
      <c r="AT65" s="7">
        <v>888.7200000000004</v>
      </c>
      <c r="AU65" s="17">
        <f t="shared" si="2"/>
        <v>17374.6</v>
      </c>
      <c r="AV65" s="200">
        <f t="shared" si="3"/>
        <v>288</v>
      </c>
      <c r="AW65" s="19">
        <f t="shared" si="4"/>
        <v>34.56000000000002</v>
      </c>
      <c r="AX65" s="15">
        <f t="shared" si="5"/>
        <v>322.56</v>
      </c>
      <c r="AY65" s="11">
        <f t="shared" si="6"/>
        <v>935.424</v>
      </c>
      <c r="AZ65" s="14">
        <f t="shared" si="7"/>
        <v>-99.82135114040445</v>
      </c>
      <c r="BA65" s="13">
        <f t="shared" si="8"/>
        <v>835.6026488595955</v>
      </c>
      <c r="BB65" s="125">
        <f t="shared" si="9"/>
        <v>-5781.44817858153</v>
      </c>
      <c r="BC65" s="22">
        <v>2</v>
      </c>
      <c r="BD65" s="7" t="s">
        <v>39</v>
      </c>
      <c r="DC65" s="6"/>
      <c r="DE65" s="99"/>
    </row>
    <row r="66" spans="17:109" ht="19.5" customHeight="1">
      <c r="Q66" s="12">
        <v>16</v>
      </c>
      <c r="R66" s="7" t="s">
        <v>63</v>
      </c>
      <c r="S66" s="7" t="s">
        <v>151</v>
      </c>
      <c r="T66" s="8">
        <v>43830</v>
      </c>
      <c r="U66" s="171">
        <v>3000</v>
      </c>
      <c r="V66" s="7">
        <v>9970.89</v>
      </c>
      <c r="W66" s="7">
        <v>90.64</v>
      </c>
      <c r="X66" s="7">
        <v>-7969.589999999999</v>
      </c>
      <c r="Y66" s="7">
        <v>1067.8600000000001</v>
      </c>
      <c r="Z66" s="7"/>
      <c r="AA66" s="17">
        <v>3159.7999999999997</v>
      </c>
      <c r="AB66" s="18">
        <v>359.40999999999985</v>
      </c>
      <c r="AC66" s="19">
        <v>43.12920000000001</v>
      </c>
      <c r="AD66" s="15">
        <v>402.5391999999999</v>
      </c>
      <c r="AE66" s="11">
        <v>1167.3636799999997</v>
      </c>
      <c r="AF66" s="7">
        <v>-118.7466326156541</v>
      </c>
      <c r="AG66" s="13">
        <v>1048.6170473843456</v>
      </c>
      <c r="AH66" s="125">
        <v>134.53707783251843</v>
      </c>
      <c r="AI66" s="22">
        <v>2</v>
      </c>
      <c r="AJ66" s="7" t="s">
        <v>39</v>
      </c>
      <c r="AK66" s="196">
        <v>16</v>
      </c>
      <c r="AL66" s="197" t="s">
        <v>63</v>
      </c>
      <c r="AM66" s="7" t="s">
        <v>151</v>
      </c>
      <c r="AN66" s="8">
        <v>43861</v>
      </c>
      <c r="AO66" s="171"/>
      <c r="AP66" s="14">
        <v>10525.08</v>
      </c>
      <c r="AQ66" s="14">
        <v>90.64</v>
      </c>
      <c r="AR66" s="7">
        <v>-7969.589999999999</v>
      </c>
      <c r="AS66" s="7">
        <v>1067.8600000000001</v>
      </c>
      <c r="AT66" s="7"/>
      <c r="AU66" s="17">
        <f t="shared" si="2"/>
        <v>3713.9900000000002</v>
      </c>
      <c r="AV66" s="200">
        <f t="shared" si="3"/>
        <v>554.1900000000005</v>
      </c>
      <c r="AW66" s="19">
        <f t="shared" si="4"/>
        <v>66.5028000000001</v>
      </c>
      <c r="AX66" s="15">
        <f t="shared" si="5"/>
        <v>620.6928000000006</v>
      </c>
      <c r="AY66" s="11">
        <f t="shared" si="6"/>
        <v>1800.0091200000018</v>
      </c>
      <c r="AZ66" s="14">
        <f t="shared" si="7"/>
        <v>-192.08331454340555</v>
      </c>
      <c r="BA66" s="13">
        <f t="shared" si="8"/>
        <v>1607.9258054565962</v>
      </c>
      <c r="BB66" s="125">
        <f t="shared" si="9"/>
        <v>1742.4628832891146</v>
      </c>
      <c r="BC66" s="22">
        <v>2</v>
      </c>
      <c r="BD66" s="7" t="s">
        <v>39</v>
      </c>
      <c r="DC66" s="6"/>
      <c r="DE66" s="99"/>
    </row>
    <row r="67" spans="17:109" ht="19.5" customHeight="1">
      <c r="Q67" s="12">
        <v>17</v>
      </c>
      <c r="R67" s="7" t="s">
        <v>134</v>
      </c>
      <c r="S67" s="7" t="s">
        <v>124</v>
      </c>
      <c r="T67" s="8">
        <v>43830</v>
      </c>
      <c r="U67" s="171"/>
      <c r="V67" s="7">
        <v>7776.04</v>
      </c>
      <c r="W67" s="7">
        <v>5.01</v>
      </c>
      <c r="X67" s="7">
        <v>-5890.88</v>
      </c>
      <c r="Y67" s="7"/>
      <c r="Z67" s="7"/>
      <c r="AA67" s="17">
        <v>1890.17</v>
      </c>
      <c r="AB67" s="18">
        <v>0</v>
      </c>
      <c r="AC67" s="19">
        <v>0</v>
      </c>
      <c r="AD67" s="15">
        <v>0</v>
      </c>
      <c r="AE67" s="11">
        <v>0</v>
      </c>
      <c r="AF67" s="7">
        <v>0</v>
      </c>
      <c r="AG67" s="13">
        <v>0</v>
      </c>
      <c r="AH67" s="125">
        <v>-831.6601322903933</v>
      </c>
      <c r="AI67" s="22">
        <v>2</v>
      </c>
      <c r="AJ67" s="7" t="s">
        <v>39</v>
      </c>
      <c r="AK67" s="196">
        <v>17</v>
      </c>
      <c r="AL67" s="197" t="s">
        <v>134</v>
      </c>
      <c r="AM67" s="7" t="s">
        <v>124</v>
      </c>
      <c r="AN67" s="8">
        <v>43861</v>
      </c>
      <c r="AO67" s="171"/>
      <c r="AP67" s="14">
        <v>7776.04</v>
      </c>
      <c r="AQ67" s="14">
        <v>5.01</v>
      </c>
      <c r="AR67" s="7">
        <v>-5890.88</v>
      </c>
      <c r="AS67" s="7"/>
      <c r="AT67" s="7"/>
      <c r="AU67" s="17">
        <f t="shared" si="2"/>
        <v>1890.17</v>
      </c>
      <c r="AV67" s="200">
        <f t="shared" si="3"/>
        <v>0</v>
      </c>
      <c r="AW67" s="19">
        <f t="shared" si="4"/>
        <v>0</v>
      </c>
      <c r="AX67" s="15">
        <f t="shared" si="5"/>
        <v>0</v>
      </c>
      <c r="AY67" s="11">
        <f t="shared" si="6"/>
        <v>0</v>
      </c>
      <c r="AZ67" s="14">
        <f t="shared" si="7"/>
        <v>0</v>
      </c>
      <c r="BA67" s="13">
        <f t="shared" si="8"/>
        <v>0</v>
      </c>
      <c r="BB67" s="125">
        <f t="shared" si="9"/>
        <v>-831.6601322903933</v>
      </c>
      <c r="BC67" s="22">
        <v>2</v>
      </c>
      <c r="BD67" s="7" t="s">
        <v>39</v>
      </c>
      <c r="DC67" s="6"/>
      <c r="DE67" s="99"/>
    </row>
    <row r="68" spans="17:109" ht="19.5" customHeight="1">
      <c r="Q68" s="12">
        <v>18</v>
      </c>
      <c r="R68" s="7" t="s">
        <v>65</v>
      </c>
      <c r="S68" s="7" t="s">
        <v>101</v>
      </c>
      <c r="T68" s="8">
        <v>43830</v>
      </c>
      <c r="U68" s="171"/>
      <c r="V68" s="7">
        <v>239.64000000000001</v>
      </c>
      <c r="W68" s="7"/>
      <c r="X68" s="7"/>
      <c r="Y68" s="7">
        <v>1556.52</v>
      </c>
      <c r="Z68" s="7"/>
      <c r="AA68" s="17">
        <v>1796.16</v>
      </c>
      <c r="AB68" s="18">
        <v>0</v>
      </c>
      <c r="AC68" s="19">
        <v>0</v>
      </c>
      <c r="AD68" s="15">
        <v>0</v>
      </c>
      <c r="AE68" s="11">
        <v>0</v>
      </c>
      <c r="AF68" s="7">
        <v>0</v>
      </c>
      <c r="AG68" s="13">
        <v>0</v>
      </c>
      <c r="AH68" s="125">
        <v>496.477336573545</v>
      </c>
      <c r="AI68" s="22">
        <v>2</v>
      </c>
      <c r="AJ68" s="7" t="s">
        <v>39</v>
      </c>
      <c r="AK68" s="196">
        <v>18</v>
      </c>
      <c r="AL68" s="197" t="s">
        <v>65</v>
      </c>
      <c r="AM68" s="7" t="s">
        <v>101</v>
      </c>
      <c r="AN68" s="8">
        <v>43861</v>
      </c>
      <c r="AO68" s="171"/>
      <c r="AP68" s="14">
        <v>239.64000000000001</v>
      </c>
      <c r="AQ68" s="14"/>
      <c r="AR68" s="7"/>
      <c r="AS68" s="7">
        <v>1556.52</v>
      </c>
      <c r="AT68" s="7"/>
      <c r="AU68" s="17">
        <f t="shared" si="2"/>
        <v>1796.16</v>
      </c>
      <c r="AV68" s="200">
        <f t="shared" si="3"/>
        <v>0</v>
      </c>
      <c r="AW68" s="19">
        <f t="shared" si="4"/>
        <v>0</v>
      </c>
      <c r="AX68" s="15">
        <f t="shared" si="5"/>
        <v>0</v>
      </c>
      <c r="AY68" s="11">
        <f t="shared" si="6"/>
        <v>0</v>
      </c>
      <c r="AZ68" s="14">
        <f t="shared" si="7"/>
        <v>0</v>
      </c>
      <c r="BA68" s="13">
        <f t="shared" si="8"/>
        <v>0</v>
      </c>
      <c r="BB68" s="125">
        <f t="shared" si="9"/>
        <v>496.477336573545</v>
      </c>
      <c r="BC68" s="22">
        <v>2</v>
      </c>
      <c r="BD68" s="7" t="s">
        <v>39</v>
      </c>
      <c r="DC68" s="6"/>
      <c r="DE68" s="99"/>
    </row>
    <row r="69" spans="17:109" ht="19.5" customHeight="1">
      <c r="Q69" s="12">
        <v>19</v>
      </c>
      <c r="R69" s="7" t="s">
        <v>66</v>
      </c>
      <c r="S69" s="7" t="s">
        <v>18</v>
      </c>
      <c r="T69" s="8">
        <v>43830</v>
      </c>
      <c r="U69" s="171">
        <v>2000</v>
      </c>
      <c r="V69" s="7">
        <v>1556.54</v>
      </c>
      <c r="W69" s="7"/>
      <c r="X69" s="7"/>
      <c r="Y69" s="7"/>
      <c r="Z69" s="7"/>
      <c r="AA69" s="17">
        <v>1556.54</v>
      </c>
      <c r="AB69" s="18">
        <v>2.589999999999918</v>
      </c>
      <c r="AC69" s="19">
        <v>0.31079999999999036</v>
      </c>
      <c r="AD69" s="15">
        <v>2.9007999999999083</v>
      </c>
      <c r="AE69" s="11">
        <v>8.412319999999735</v>
      </c>
      <c r="AF69" s="7">
        <v>-0.8557184788251148</v>
      </c>
      <c r="AG69" s="13">
        <v>7.55660152117462</v>
      </c>
      <c r="AH69" s="125">
        <v>-1971.5290530568118</v>
      </c>
      <c r="AI69" s="22">
        <v>1</v>
      </c>
      <c r="AJ69" s="7" t="s">
        <v>39</v>
      </c>
      <c r="AK69" s="196">
        <v>19</v>
      </c>
      <c r="AL69" s="197" t="s">
        <v>66</v>
      </c>
      <c r="AM69" s="7" t="s">
        <v>18</v>
      </c>
      <c r="AN69" s="8">
        <v>43861</v>
      </c>
      <c r="AO69" s="171"/>
      <c r="AP69" s="14">
        <v>1558.8600000000001</v>
      </c>
      <c r="AQ69" s="14"/>
      <c r="AR69" s="7"/>
      <c r="AS69" s="7"/>
      <c r="AT69" s="7"/>
      <c r="AU69" s="17">
        <f t="shared" si="2"/>
        <v>1558.8600000000001</v>
      </c>
      <c r="AV69" s="200">
        <f t="shared" si="3"/>
        <v>2.3200000000001637</v>
      </c>
      <c r="AW69" s="19">
        <f t="shared" si="4"/>
        <v>0.27840000000001974</v>
      </c>
      <c r="AX69" s="15">
        <f t="shared" si="5"/>
        <v>2.5984000000001837</v>
      </c>
      <c r="AY69" s="11">
        <f t="shared" si="6"/>
        <v>7.535360000000533</v>
      </c>
      <c r="AZ69" s="14">
        <f t="shared" si="7"/>
        <v>-0.8041164397422038</v>
      </c>
      <c r="BA69" s="13">
        <f t="shared" si="8"/>
        <v>6.731243560258329</v>
      </c>
      <c r="BB69" s="125">
        <f t="shared" si="9"/>
        <v>-1964.7978094965536</v>
      </c>
      <c r="BC69" s="22">
        <v>1</v>
      </c>
      <c r="BD69" s="7" t="s">
        <v>39</v>
      </c>
      <c r="DC69" s="6"/>
      <c r="DE69" s="99"/>
    </row>
    <row r="70" spans="17:109" ht="19.5" customHeight="1">
      <c r="Q70" s="12">
        <v>20</v>
      </c>
      <c r="R70" s="7" t="s">
        <v>67</v>
      </c>
      <c r="S70" s="7" t="s">
        <v>49</v>
      </c>
      <c r="T70" s="8">
        <v>43830</v>
      </c>
      <c r="U70" s="171">
        <v>4600</v>
      </c>
      <c r="V70" s="7">
        <v>67538.09</v>
      </c>
      <c r="W70" s="7"/>
      <c r="X70" s="7"/>
      <c r="Y70" s="7"/>
      <c r="Z70" s="7">
        <v>2917.13</v>
      </c>
      <c r="AA70" s="17">
        <v>67538.09</v>
      </c>
      <c r="AB70" s="18">
        <v>2834.899999999994</v>
      </c>
      <c r="AC70" s="19">
        <v>340.18799999999953</v>
      </c>
      <c r="AD70" s="15">
        <v>3175.087999999994</v>
      </c>
      <c r="AE70" s="11">
        <v>9207.755199999981</v>
      </c>
      <c r="AF70" s="7">
        <v>-936.6317820932005</v>
      </c>
      <c r="AG70" s="13">
        <v>8271.123417906781</v>
      </c>
      <c r="AH70" s="125">
        <v>8258.03830008509</v>
      </c>
      <c r="AI70" s="22">
        <v>2</v>
      </c>
      <c r="AJ70" s="7" t="s">
        <v>39</v>
      </c>
      <c r="AK70" s="196">
        <v>20</v>
      </c>
      <c r="AL70" s="197" t="s">
        <v>67</v>
      </c>
      <c r="AM70" s="7" t="s">
        <v>49</v>
      </c>
      <c r="AN70" s="8">
        <v>43861</v>
      </c>
      <c r="AO70" s="171">
        <v>8500</v>
      </c>
      <c r="AP70" s="14">
        <v>70075.82</v>
      </c>
      <c r="AQ70" s="14"/>
      <c r="AR70" s="7"/>
      <c r="AS70" s="7"/>
      <c r="AT70" s="7">
        <v>2917.13</v>
      </c>
      <c r="AU70" s="17">
        <f t="shared" si="2"/>
        <v>70075.82</v>
      </c>
      <c r="AV70" s="200">
        <f t="shared" si="3"/>
        <v>2537.7300000000105</v>
      </c>
      <c r="AW70" s="19">
        <f t="shared" si="4"/>
        <v>304.52760000000137</v>
      </c>
      <c r="AX70" s="15">
        <f t="shared" si="5"/>
        <v>2842.2576000000117</v>
      </c>
      <c r="AY70" s="11">
        <f t="shared" si="6"/>
        <v>8242.547040000034</v>
      </c>
      <c r="AZ70" s="14">
        <f t="shared" si="7"/>
        <v>-879.5820744081237</v>
      </c>
      <c r="BA70" s="13">
        <f t="shared" si="8"/>
        <v>7362.96496559191</v>
      </c>
      <c r="BB70" s="125">
        <f t="shared" si="9"/>
        <v>7121.003265677001</v>
      </c>
      <c r="BC70" s="22">
        <v>2</v>
      </c>
      <c r="BD70" s="7" t="s">
        <v>39</v>
      </c>
      <c r="DC70" s="6"/>
      <c r="DE70" s="99"/>
    </row>
    <row r="71" spans="17:109" ht="19.5" customHeight="1">
      <c r="Q71" s="12">
        <v>21</v>
      </c>
      <c r="R71" s="7" t="s">
        <v>68</v>
      </c>
      <c r="S71" s="7" t="s">
        <v>12</v>
      </c>
      <c r="T71" s="8">
        <v>43830</v>
      </c>
      <c r="U71" s="171"/>
      <c r="V71" s="7">
        <v>1022.5</v>
      </c>
      <c r="W71" s="7"/>
      <c r="X71" s="7"/>
      <c r="Y71" s="7"/>
      <c r="Z71" s="7"/>
      <c r="AA71" s="17">
        <v>1022.5</v>
      </c>
      <c r="AB71" s="18">
        <v>0</v>
      </c>
      <c r="AC71" s="19">
        <v>0</v>
      </c>
      <c r="AD71" s="15">
        <v>0</v>
      </c>
      <c r="AE71" s="11">
        <v>0</v>
      </c>
      <c r="AF71" s="7">
        <v>0</v>
      </c>
      <c r="AG71" s="13">
        <v>0</v>
      </c>
      <c r="AH71" s="125">
        <v>-315.69671190690116</v>
      </c>
      <c r="AI71" s="22">
        <v>1</v>
      </c>
      <c r="AJ71" s="7" t="s">
        <v>39</v>
      </c>
      <c r="AK71" s="196">
        <v>21</v>
      </c>
      <c r="AL71" s="197" t="s">
        <v>68</v>
      </c>
      <c r="AM71" s="7" t="s">
        <v>12</v>
      </c>
      <c r="AN71" s="8">
        <v>43861</v>
      </c>
      <c r="AO71" s="171"/>
      <c r="AP71" s="14">
        <v>1022.5</v>
      </c>
      <c r="AQ71" s="14"/>
      <c r="AR71" s="7"/>
      <c r="AS71" s="7"/>
      <c r="AT71" s="7"/>
      <c r="AU71" s="17">
        <f t="shared" si="2"/>
        <v>1022.5</v>
      </c>
      <c r="AV71" s="200">
        <f t="shared" si="3"/>
        <v>0</v>
      </c>
      <c r="AW71" s="19">
        <f t="shared" si="4"/>
        <v>0</v>
      </c>
      <c r="AX71" s="15">
        <f t="shared" si="5"/>
        <v>0</v>
      </c>
      <c r="AY71" s="11">
        <f t="shared" si="6"/>
        <v>0</v>
      </c>
      <c r="AZ71" s="14">
        <f t="shared" si="7"/>
        <v>0</v>
      </c>
      <c r="BA71" s="13">
        <f t="shared" si="8"/>
        <v>0</v>
      </c>
      <c r="BB71" s="125">
        <f t="shared" si="9"/>
        <v>-315.69671190690116</v>
      </c>
      <c r="BC71" s="22">
        <v>1</v>
      </c>
      <c r="BD71" s="7" t="s">
        <v>39</v>
      </c>
      <c r="DC71" s="6"/>
      <c r="DE71" s="99"/>
    </row>
    <row r="72" spans="17:109" ht="19.5" customHeight="1">
      <c r="Q72" s="12">
        <v>22</v>
      </c>
      <c r="R72" s="7" t="s">
        <v>69</v>
      </c>
      <c r="S72" s="7" t="s">
        <v>37</v>
      </c>
      <c r="T72" s="8">
        <v>43830</v>
      </c>
      <c r="U72" s="171"/>
      <c r="V72" s="7">
        <v>1590.3700000000001</v>
      </c>
      <c r="W72" s="7"/>
      <c r="X72" s="7"/>
      <c r="Y72" s="7"/>
      <c r="Z72" s="7">
        <v>-12.41</v>
      </c>
      <c r="AA72" s="17">
        <v>1590.3700000000001</v>
      </c>
      <c r="AB72" s="18">
        <v>0</v>
      </c>
      <c r="AC72" s="19">
        <v>0</v>
      </c>
      <c r="AD72" s="15">
        <v>0</v>
      </c>
      <c r="AE72" s="11">
        <v>0</v>
      </c>
      <c r="AF72" s="7">
        <v>0</v>
      </c>
      <c r="AG72" s="13">
        <v>0</v>
      </c>
      <c r="AH72" s="125">
        <v>312.22962629042024</v>
      </c>
      <c r="AI72" s="22">
        <v>2</v>
      </c>
      <c r="AJ72" s="7" t="s">
        <v>39</v>
      </c>
      <c r="AK72" s="196">
        <v>22</v>
      </c>
      <c r="AL72" s="197" t="s">
        <v>69</v>
      </c>
      <c r="AM72" s="7" t="s">
        <v>37</v>
      </c>
      <c r="AN72" s="8">
        <v>43861</v>
      </c>
      <c r="AO72" s="171"/>
      <c r="AP72" s="14">
        <v>1590.3700000000001</v>
      </c>
      <c r="AQ72" s="14"/>
      <c r="AR72" s="7"/>
      <c r="AS72" s="7"/>
      <c r="AT72" s="7">
        <v>-12.41</v>
      </c>
      <c r="AU72" s="17">
        <f t="shared" si="2"/>
        <v>1590.3700000000001</v>
      </c>
      <c r="AV72" s="200">
        <f t="shared" si="3"/>
        <v>0</v>
      </c>
      <c r="AW72" s="19">
        <f t="shared" si="4"/>
        <v>0</v>
      </c>
      <c r="AX72" s="15">
        <f t="shared" si="5"/>
        <v>0</v>
      </c>
      <c r="AY72" s="11">
        <f t="shared" si="6"/>
        <v>0</v>
      </c>
      <c r="AZ72" s="14">
        <f t="shared" si="7"/>
        <v>0</v>
      </c>
      <c r="BA72" s="13">
        <f t="shared" si="8"/>
        <v>0</v>
      </c>
      <c r="BB72" s="125">
        <f t="shared" si="9"/>
        <v>312.22962629042024</v>
      </c>
      <c r="BC72" s="22">
        <v>2</v>
      </c>
      <c r="BD72" s="7" t="s">
        <v>39</v>
      </c>
      <c r="DC72" s="6"/>
      <c r="DE72" s="99"/>
    </row>
    <row r="73" spans="17:109" ht="19.5" customHeight="1">
      <c r="Q73" s="12">
        <v>23</v>
      </c>
      <c r="R73" s="7" t="s">
        <v>78</v>
      </c>
      <c r="S73" s="7" t="s">
        <v>8</v>
      </c>
      <c r="T73" s="8">
        <v>43830</v>
      </c>
      <c r="U73" s="171"/>
      <c r="V73" s="7">
        <v>46.97</v>
      </c>
      <c r="W73" s="7"/>
      <c r="X73" s="7"/>
      <c r="Y73" s="7"/>
      <c r="Z73" s="7"/>
      <c r="AA73" s="17">
        <v>46.97</v>
      </c>
      <c r="AB73" s="18">
        <v>0</v>
      </c>
      <c r="AC73" s="19">
        <v>0</v>
      </c>
      <c r="AD73" s="15">
        <v>0</v>
      </c>
      <c r="AE73" s="11">
        <v>0</v>
      </c>
      <c r="AF73" s="7">
        <v>0</v>
      </c>
      <c r="AG73" s="13">
        <v>0</v>
      </c>
      <c r="AH73" s="125">
        <v>-144.0559539259968</v>
      </c>
      <c r="AI73" s="22">
        <v>1</v>
      </c>
      <c r="AJ73" s="7" t="s">
        <v>39</v>
      </c>
      <c r="AK73" s="196">
        <v>23</v>
      </c>
      <c r="AL73" s="197" t="s">
        <v>78</v>
      </c>
      <c r="AM73" s="7" t="s">
        <v>8</v>
      </c>
      <c r="AN73" s="8">
        <v>43861</v>
      </c>
      <c r="AO73" s="171"/>
      <c r="AP73" s="14">
        <v>46.97</v>
      </c>
      <c r="AQ73" s="14"/>
      <c r="AR73" s="7"/>
      <c r="AS73" s="7"/>
      <c r="AT73" s="7"/>
      <c r="AU73" s="17">
        <f t="shared" si="2"/>
        <v>46.97</v>
      </c>
      <c r="AV73" s="200">
        <f t="shared" si="3"/>
        <v>0</v>
      </c>
      <c r="AW73" s="19">
        <f t="shared" si="4"/>
        <v>0</v>
      </c>
      <c r="AX73" s="15">
        <f t="shared" si="5"/>
        <v>0</v>
      </c>
      <c r="AY73" s="11">
        <f t="shared" si="6"/>
        <v>0</v>
      </c>
      <c r="AZ73" s="14">
        <f t="shared" si="7"/>
        <v>0</v>
      </c>
      <c r="BA73" s="13">
        <f t="shared" si="8"/>
        <v>0</v>
      </c>
      <c r="BB73" s="125">
        <f t="shared" si="9"/>
        <v>-144.0559539259968</v>
      </c>
      <c r="BC73" s="22">
        <v>1</v>
      </c>
      <c r="BD73" s="7" t="s">
        <v>39</v>
      </c>
      <c r="DC73" s="6"/>
      <c r="DE73" s="99"/>
    </row>
    <row r="74" spans="17:109" ht="19.5" customHeight="1">
      <c r="Q74" s="12">
        <v>24</v>
      </c>
      <c r="R74" s="7" t="s">
        <v>70</v>
      </c>
      <c r="S74" s="7" t="s">
        <v>21</v>
      </c>
      <c r="T74" s="8">
        <v>43830</v>
      </c>
      <c r="U74" s="171"/>
      <c r="V74" s="7">
        <v>9563.23</v>
      </c>
      <c r="W74" s="7"/>
      <c r="X74" s="7"/>
      <c r="Y74" s="7"/>
      <c r="Z74" s="7"/>
      <c r="AA74" s="17">
        <v>9563.23</v>
      </c>
      <c r="AB74" s="18">
        <v>1.889999999999418</v>
      </c>
      <c r="AC74" s="19">
        <v>0.2267999999999303</v>
      </c>
      <c r="AD74" s="15">
        <v>2.116799999999348</v>
      </c>
      <c r="AE74" s="11">
        <v>6.138719999998109</v>
      </c>
      <c r="AF74" s="7">
        <v>-0.6244432142776137</v>
      </c>
      <c r="AG74" s="13">
        <v>5.5142767857204955</v>
      </c>
      <c r="AH74" s="125">
        <v>-1050.4365771015243</v>
      </c>
      <c r="AI74" s="22">
        <v>1</v>
      </c>
      <c r="AJ74" s="7" t="s">
        <v>39</v>
      </c>
      <c r="AK74" s="196">
        <v>24</v>
      </c>
      <c r="AL74" s="197" t="s">
        <v>70</v>
      </c>
      <c r="AM74" s="7" t="s">
        <v>21</v>
      </c>
      <c r="AN74" s="8">
        <v>43861</v>
      </c>
      <c r="AO74" s="171"/>
      <c r="AP74" s="14">
        <v>9573.08</v>
      </c>
      <c r="AQ74" s="14"/>
      <c r="AR74" s="7"/>
      <c r="AS74" s="7"/>
      <c r="AT74" s="7"/>
      <c r="AU74" s="17">
        <f t="shared" si="2"/>
        <v>9573.08</v>
      </c>
      <c r="AV74" s="200">
        <f t="shared" si="3"/>
        <v>9.850000000000364</v>
      </c>
      <c r="AW74" s="19">
        <f t="shared" si="4"/>
        <v>1.1820000000000441</v>
      </c>
      <c r="AX74" s="15">
        <f t="shared" si="5"/>
        <v>11.032000000000409</v>
      </c>
      <c r="AY74" s="11">
        <f t="shared" si="6"/>
        <v>31.992800000001186</v>
      </c>
      <c r="AZ74" s="14">
        <f t="shared" si="7"/>
        <v>-3.4140288497674316</v>
      </c>
      <c r="BA74" s="13">
        <f t="shared" si="8"/>
        <v>28.578771150233756</v>
      </c>
      <c r="BB74" s="125">
        <f t="shared" si="9"/>
        <v>-1021.8578059512906</v>
      </c>
      <c r="BC74" s="22">
        <v>1</v>
      </c>
      <c r="BD74" s="7" t="s">
        <v>39</v>
      </c>
      <c r="DC74" s="6"/>
      <c r="DE74" s="99"/>
    </row>
    <row r="75" spans="17:109" ht="19.5" customHeight="1">
      <c r="Q75" s="12">
        <v>25</v>
      </c>
      <c r="R75" s="7" t="s">
        <v>71</v>
      </c>
      <c r="S75" s="7" t="s">
        <v>102</v>
      </c>
      <c r="T75" s="8">
        <v>43830</v>
      </c>
      <c r="U75" s="171"/>
      <c r="V75" s="7">
        <v>11430.23</v>
      </c>
      <c r="W75" s="7"/>
      <c r="X75" s="7"/>
      <c r="Y75" s="7">
        <v>4482.45</v>
      </c>
      <c r="Z75" s="7"/>
      <c r="AA75" s="17">
        <v>15912.68</v>
      </c>
      <c r="AB75" s="18">
        <v>4.880000000001019</v>
      </c>
      <c r="AC75" s="19">
        <v>0.5856000000001226</v>
      </c>
      <c r="AD75" s="15">
        <v>5.4656000000011415</v>
      </c>
      <c r="AE75" s="11">
        <v>15.85024000000331</v>
      </c>
      <c r="AF75" s="7">
        <v>-1.6123189871303336</v>
      </c>
      <c r="AG75" s="13">
        <v>14.237921012872977</v>
      </c>
      <c r="AH75" s="125">
        <v>-3084.011847611113</v>
      </c>
      <c r="AI75" s="22">
        <v>2</v>
      </c>
      <c r="AJ75" s="7" t="s">
        <v>39</v>
      </c>
      <c r="AK75" s="196">
        <v>25</v>
      </c>
      <c r="AL75" s="197" t="s">
        <v>71</v>
      </c>
      <c r="AM75" s="7" t="s">
        <v>102</v>
      </c>
      <c r="AN75" s="8">
        <v>43861</v>
      </c>
      <c r="AO75" s="171"/>
      <c r="AP75" s="14">
        <v>11442.210000000001</v>
      </c>
      <c r="AQ75" s="14"/>
      <c r="AR75" s="7"/>
      <c r="AS75" s="7">
        <v>4482.45</v>
      </c>
      <c r="AT75" s="7"/>
      <c r="AU75" s="17">
        <f t="shared" si="2"/>
        <v>15924.66</v>
      </c>
      <c r="AV75" s="200">
        <f t="shared" si="3"/>
        <v>11.979999999999563</v>
      </c>
      <c r="AW75" s="19">
        <f t="shared" si="4"/>
        <v>1.4375999999999483</v>
      </c>
      <c r="AX75" s="15">
        <f t="shared" si="5"/>
        <v>13.417599999999512</v>
      </c>
      <c r="AY75" s="11">
        <f t="shared" si="6"/>
        <v>38.911039999998586</v>
      </c>
      <c r="AZ75" s="14">
        <f t="shared" si="7"/>
        <v>-4.152290925909728</v>
      </c>
      <c r="BA75" s="13">
        <f t="shared" si="8"/>
        <v>34.758749074088854</v>
      </c>
      <c r="BB75" s="125">
        <f t="shared" si="9"/>
        <v>-3049.253098537024</v>
      </c>
      <c r="BC75" s="22">
        <v>2</v>
      </c>
      <c r="BD75" s="7" t="s">
        <v>39</v>
      </c>
      <c r="DC75" s="6"/>
      <c r="DE75" s="99"/>
    </row>
    <row r="76" spans="17:109" ht="19.5" customHeight="1">
      <c r="Q76" s="12">
        <v>26</v>
      </c>
      <c r="R76" s="7" t="s">
        <v>72</v>
      </c>
      <c r="S76" s="7" t="s">
        <v>15</v>
      </c>
      <c r="T76" s="8">
        <v>43830</v>
      </c>
      <c r="U76" s="171">
        <v>10000</v>
      </c>
      <c r="V76" s="7">
        <v>122051.21</v>
      </c>
      <c r="W76" s="7"/>
      <c r="X76" s="7"/>
      <c r="Y76" s="7"/>
      <c r="Z76" s="7"/>
      <c r="AA76" s="17">
        <v>122051.21</v>
      </c>
      <c r="AB76" s="18">
        <v>4625.419999999998</v>
      </c>
      <c r="AC76" s="19">
        <v>555.0504000000002</v>
      </c>
      <c r="AD76" s="15">
        <v>5180.470399999998</v>
      </c>
      <c r="AE76" s="11">
        <v>15023.364159999996</v>
      </c>
      <c r="AF76" s="7">
        <v>-1528.207477346481</v>
      </c>
      <c r="AG76" s="13">
        <v>13495.156682653515</v>
      </c>
      <c r="AH76" s="125">
        <v>13456.755999787174</v>
      </c>
      <c r="AI76" s="22">
        <v>1</v>
      </c>
      <c r="AJ76" s="7" t="s">
        <v>39</v>
      </c>
      <c r="AK76" s="196">
        <v>26</v>
      </c>
      <c r="AL76" s="197" t="s">
        <v>72</v>
      </c>
      <c r="AM76" s="7" t="s">
        <v>15</v>
      </c>
      <c r="AN76" s="8">
        <v>43861</v>
      </c>
      <c r="AO76" s="171">
        <v>14000</v>
      </c>
      <c r="AP76" s="14">
        <v>126198.17</v>
      </c>
      <c r="AQ76" s="14"/>
      <c r="AR76" s="7"/>
      <c r="AS76" s="7"/>
      <c r="AT76" s="7"/>
      <c r="AU76" s="17">
        <f t="shared" si="2"/>
        <v>126198.17</v>
      </c>
      <c r="AV76" s="200">
        <f t="shared" si="3"/>
        <v>4146.959999999992</v>
      </c>
      <c r="AW76" s="19">
        <f t="shared" si="4"/>
        <v>497.63519999999926</v>
      </c>
      <c r="AX76" s="15">
        <f t="shared" si="5"/>
        <v>4644.595199999991</v>
      </c>
      <c r="AY76" s="11">
        <f t="shared" si="6"/>
        <v>13469.326079999972</v>
      </c>
      <c r="AZ76" s="14">
        <f t="shared" si="7"/>
        <v>-1437.3442719625373</v>
      </c>
      <c r="BA76" s="13">
        <f t="shared" si="8"/>
        <v>12031.981808037435</v>
      </c>
      <c r="BB76" s="125">
        <f t="shared" si="9"/>
        <v>11488.73780782461</v>
      </c>
      <c r="BC76" s="22">
        <v>1</v>
      </c>
      <c r="BD76" s="7" t="s">
        <v>39</v>
      </c>
      <c r="DC76" s="6"/>
      <c r="DE76" s="99"/>
    </row>
    <row r="77" spans="17:109" ht="19.5" customHeight="1">
      <c r="Q77" s="12">
        <v>27</v>
      </c>
      <c r="R77" s="7" t="s">
        <v>135</v>
      </c>
      <c r="S77" s="7" t="s">
        <v>125</v>
      </c>
      <c r="T77" s="8">
        <v>43830</v>
      </c>
      <c r="U77" s="171"/>
      <c r="V77" s="7">
        <v>4545.78</v>
      </c>
      <c r="W77" s="7">
        <v>43.949999999999996</v>
      </c>
      <c r="X77" s="7">
        <v>2041.1099999999997</v>
      </c>
      <c r="Y77" s="7"/>
      <c r="Z77" s="7"/>
      <c r="AA77" s="17">
        <v>6630.839999999999</v>
      </c>
      <c r="AB77" s="18">
        <v>25.449999999999818</v>
      </c>
      <c r="AC77" s="19">
        <v>3.0539999999999803</v>
      </c>
      <c r="AD77" s="15">
        <v>28.5039999999998</v>
      </c>
      <c r="AE77" s="11">
        <v>82.66159999999941</v>
      </c>
      <c r="AF77" s="7">
        <v>-8.408507832470928</v>
      </c>
      <c r="AG77" s="13">
        <v>74.25309216752848</v>
      </c>
      <c r="AH77" s="125">
        <v>14.954038775239184</v>
      </c>
      <c r="AI77" s="22">
        <v>2</v>
      </c>
      <c r="AJ77" s="7" t="s">
        <v>39</v>
      </c>
      <c r="AK77" s="196">
        <v>27</v>
      </c>
      <c r="AL77" s="197" t="s">
        <v>135</v>
      </c>
      <c r="AM77" s="7" t="s">
        <v>125</v>
      </c>
      <c r="AN77" s="8">
        <v>43861</v>
      </c>
      <c r="AO77" s="171"/>
      <c r="AP77" s="14">
        <v>4581.95</v>
      </c>
      <c r="AQ77" s="14">
        <v>43.949999999999996</v>
      </c>
      <c r="AR77" s="7">
        <v>2041.1099999999997</v>
      </c>
      <c r="AS77" s="7"/>
      <c r="AT77" s="7"/>
      <c r="AU77" s="17">
        <f t="shared" si="2"/>
        <v>6667.009999999999</v>
      </c>
      <c r="AV77" s="200">
        <f t="shared" si="3"/>
        <v>36.17000000000007</v>
      </c>
      <c r="AW77" s="19">
        <f t="shared" si="4"/>
        <v>4.3404000000000105</v>
      </c>
      <c r="AX77" s="15">
        <f t="shared" si="5"/>
        <v>40.51040000000008</v>
      </c>
      <c r="AY77" s="11">
        <f t="shared" si="6"/>
        <v>117.48016000000024</v>
      </c>
      <c r="AZ77" s="14">
        <f t="shared" si="7"/>
        <v>-12.536591217876515</v>
      </c>
      <c r="BA77" s="13">
        <f t="shared" si="8"/>
        <v>104.94356878212372</v>
      </c>
      <c r="BB77" s="125">
        <f t="shared" si="9"/>
        <v>119.8976075573629</v>
      </c>
      <c r="BC77" s="22">
        <v>2</v>
      </c>
      <c r="BD77" s="7" t="s">
        <v>39</v>
      </c>
      <c r="DC77" s="6"/>
      <c r="DE77" s="99"/>
    </row>
    <row r="78" spans="17:128" ht="19.5" customHeight="1">
      <c r="Q78" s="12">
        <v>28</v>
      </c>
      <c r="R78" s="7" t="s">
        <v>74</v>
      </c>
      <c r="S78" s="7" t="s">
        <v>103</v>
      </c>
      <c r="T78" s="8">
        <v>43830</v>
      </c>
      <c r="U78" s="171"/>
      <c r="V78" s="7">
        <v>359.11</v>
      </c>
      <c r="W78" s="7"/>
      <c r="X78" s="7"/>
      <c r="Y78" s="7">
        <v>1001.32</v>
      </c>
      <c r="Z78" s="7">
        <v>86.73</v>
      </c>
      <c r="AA78" s="17">
        <v>1360.43</v>
      </c>
      <c r="AB78" s="18">
        <v>0</v>
      </c>
      <c r="AC78" s="19">
        <v>0</v>
      </c>
      <c r="AD78" s="15">
        <v>0</v>
      </c>
      <c r="AE78" s="11">
        <v>0</v>
      </c>
      <c r="AF78" s="7">
        <v>0</v>
      </c>
      <c r="AG78" s="13">
        <v>0</v>
      </c>
      <c r="AH78" s="125">
        <v>35.71961587424478</v>
      </c>
      <c r="AI78" s="22">
        <v>2</v>
      </c>
      <c r="AJ78" s="7" t="s">
        <v>39</v>
      </c>
      <c r="AK78" s="198">
        <v>28</v>
      </c>
      <c r="AL78" s="133" t="s">
        <v>74</v>
      </c>
      <c r="AM78" s="14" t="s">
        <v>103</v>
      </c>
      <c r="AN78" s="178">
        <v>43861</v>
      </c>
      <c r="AO78" s="171"/>
      <c r="AP78" s="14">
        <v>359.11</v>
      </c>
      <c r="AQ78" s="14"/>
      <c r="AR78" s="14"/>
      <c r="AS78" s="14">
        <v>1001.32</v>
      </c>
      <c r="AT78" s="14">
        <v>86.73</v>
      </c>
      <c r="AU78" s="17">
        <f t="shared" si="2"/>
        <v>1360.43</v>
      </c>
      <c r="AV78" s="200">
        <f t="shared" si="3"/>
        <v>0</v>
      </c>
      <c r="AW78" s="19">
        <f t="shared" si="4"/>
        <v>0</v>
      </c>
      <c r="AX78" s="15">
        <f t="shared" si="5"/>
        <v>0</v>
      </c>
      <c r="AY78" s="11">
        <f t="shared" si="6"/>
        <v>0</v>
      </c>
      <c r="AZ78" s="14">
        <f t="shared" si="7"/>
        <v>0</v>
      </c>
      <c r="BA78" s="13">
        <f t="shared" si="8"/>
        <v>0</v>
      </c>
      <c r="BB78" s="125">
        <f t="shared" si="9"/>
        <v>35.71961587424478</v>
      </c>
      <c r="BC78" s="22">
        <v>2</v>
      </c>
      <c r="BD78" s="7" t="s">
        <v>39</v>
      </c>
      <c r="DC78" s="6"/>
      <c r="DE78" s="9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80"/>
      <c r="DS78" s="180"/>
      <c r="DT78" s="180"/>
      <c r="DU78" s="180"/>
      <c r="DV78" s="180"/>
      <c r="DW78" s="180"/>
      <c r="DX78" s="180"/>
    </row>
    <row r="79" spans="17:128" ht="19.5" customHeight="1">
      <c r="Q79" s="12">
        <v>29</v>
      </c>
      <c r="R79" s="7" t="s">
        <v>75</v>
      </c>
      <c r="S79" s="7" t="s">
        <v>104</v>
      </c>
      <c r="T79" s="8">
        <v>43830</v>
      </c>
      <c r="U79" s="171"/>
      <c r="V79" s="7">
        <v>284.62</v>
      </c>
      <c r="W79" s="7"/>
      <c r="X79" s="7"/>
      <c r="Y79" s="7">
        <v>705.21</v>
      </c>
      <c r="Z79" s="7"/>
      <c r="AA79" s="17">
        <v>989.83</v>
      </c>
      <c r="AB79" s="18">
        <v>0</v>
      </c>
      <c r="AC79" s="19">
        <v>0</v>
      </c>
      <c r="AD79" s="15">
        <v>0</v>
      </c>
      <c r="AE79" s="11">
        <v>0</v>
      </c>
      <c r="AF79" s="7">
        <v>0</v>
      </c>
      <c r="AG79" s="13">
        <v>0</v>
      </c>
      <c r="AH79" s="125">
        <v>202.2467936057206</v>
      </c>
      <c r="AI79" s="22">
        <v>2</v>
      </c>
      <c r="AJ79" s="7" t="s">
        <v>39</v>
      </c>
      <c r="AK79" s="198">
        <v>29</v>
      </c>
      <c r="AL79" s="133" t="s">
        <v>75</v>
      </c>
      <c r="AM79" s="14" t="s">
        <v>104</v>
      </c>
      <c r="AN79" s="178">
        <v>43861</v>
      </c>
      <c r="AO79" s="171"/>
      <c r="AP79" s="14">
        <v>284.62</v>
      </c>
      <c r="AQ79" s="14"/>
      <c r="AR79" s="14"/>
      <c r="AS79" s="14">
        <v>705.21</v>
      </c>
      <c r="AT79" s="14"/>
      <c r="AU79" s="17">
        <f t="shared" si="2"/>
        <v>989.83</v>
      </c>
      <c r="AV79" s="200">
        <f t="shared" si="3"/>
        <v>0</v>
      </c>
      <c r="AW79" s="19">
        <f t="shared" si="4"/>
        <v>0</v>
      </c>
      <c r="AX79" s="15">
        <f t="shared" si="5"/>
        <v>0</v>
      </c>
      <c r="AY79" s="11">
        <f t="shared" si="6"/>
        <v>0</v>
      </c>
      <c r="AZ79" s="14">
        <f t="shared" si="7"/>
        <v>0</v>
      </c>
      <c r="BA79" s="13">
        <f t="shared" si="8"/>
        <v>0</v>
      </c>
      <c r="BB79" s="125">
        <f t="shared" si="9"/>
        <v>202.2467936057206</v>
      </c>
      <c r="BC79" s="22">
        <v>2</v>
      </c>
      <c r="BD79" s="7" t="s">
        <v>39</v>
      </c>
      <c r="DC79" s="6"/>
      <c r="DE79" s="9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80"/>
      <c r="DS79" s="180"/>
      <c r="DT79" s="180"/>
      <c r="DU79" s="180"/>
      <c r="DV79" s="180"/>
      <c r="DW79" s="180"/>
      <c r="DX79" s="180"/>
    </row>
    <row r="80" spans="17:128" ht="19.5" customHeight="1">
      <c r="Q80" s="12">
        <v>30</v>
      </c>
      <c r="R80" s="7" t="s">
        <v>76</v>
      </c>
      <c r="S80" s="7" t="s">
        <v>99</v>
      </c>
      <c r="T80" s="8">
        <v>43830</v>
      </c>
      <c r="U80" s="171"/>
      <c r="V80" s="7">
        <v>747.27</v>
      </c>
      <c r="W80" s="7"/>
      <c r="X80" s="7">
        <v>0</v>
      </c>
      <c r="Y80" s="7">
        <v>697.24</v>
      </c>
      <c r="Z80" s="7">
        <v>76.96</v>
      </c>
      <c r="AA80" s="17">
        <v>1444.51</v>
      </c>
      <c r="AB80" s="18">
        <v>0.009999999999990905</v>
      </c>
      <c r="AC80" s="19">
        <v>0.0011999999999989094</v>
      </c>
      <c r="AD80" s="15">
        <v>0.011199999999989815</v>
      </c>
      <c r="AE80" s="11">
        <v>0.03247999999997046</v>
      </c>
      <c r="AF80" s="7">
        <v>-0.003303932350673218</v>
      </c>
      <c r="AG80" s="13">
        <v>0.029176067649297244</v>
      </c>
      <c r="AH80" s="125">
        <v>-192.2400631492059</v>
      </c>
      <c r="AI80" s="22">
        <v>2</v>
      </c>
      <c r="AJ80" s="7" t="s">
        <v>39</v>
      </c>
      <c r="AK80" s="196">
        <v>30</v>
      </c>
      <c r="AL80" s="197" t="s">
        <v>76</v>
      </c>
      <c r="AM80" s="7" t="s">
        <v>99</v>
      </c>
      <c r="AN80" s="8">
        <v>43861</v>
      </c>
      <c r="AO80" s="171"/>
      <c r="AP80" s="14">
        <v>747.28</v>
      </c>
      <c r="AQ80" s="14"/>
      <c r="AR80" s="7">
        <v>0</v>
      </c>
      <c r="AS80" s="7">
        <v>697.24</v>
      </c>
      <c r="AT80" s="7">
        <v>76.96</v>
      </c>
      <c r="AU80" s="17">
        <f t="shared" si="2"/>
        <v>1444.52</v>
      </c>
      <c r="AV80" s="200">
        <f t="shared" si="3"/>
        <v>0.009999999999990905</v>
      </c>
      <c r="AW80" s="19">
        <f t="shared" si="4"/>
        <v>0.0011999999999989092</v>
      </c>
      <c r="AX80" s="15">
        <f t="shared" si="5"/>
        <v>0.011199999999989814</v>
      </c>
      <c r="AY80" s="11">
        <f t="shared" si="6"/>
        <v>0.032479999999970456</v>
      </c>
      <c r="AZ80" s="14">
        <f t="shared" si="7"/>
        <v>-0.003466019136816446</v>
      </c>
      <c r="BA80" s="13">
        <f t="shared" si="8"/>
        <v>0.02901398086315401</v>
      </c>
      <c r="BB80" s="125">
        <f t="shared" si="9"/>
        <v>-192.21104916834275</v>
      </c>
      <c r="BC80" s="22">
        <v>2</v>
      </c>
      <c r="BD80" s="7" t="s">
        <v>39</v>
      </c>
      <c r="DC80" s="6"/>
      <c r="DE80" s="99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0"/>
      <c r="DS80" s="180"/>
      <c r="DT80" s="180"/>
      <c r="DU80" s="180"/>
      <c r="DV80" s="180"/>
      <c r="DW80" s="180"/>
      <c r="DX80" s="180"/>
    </row>
    <row r="81" spans="17:109" s="47" customFormat="1" ht="19.5" customHeight="1">
      <c r="Q81" s="102"/>
      <c r="R81" s="102" t="s">
        <v>28</v>
      </c>
      <c r="S81" s="102"/>
      <c r="T81" s="102"/>
      <c r="U81" s="102">
        <v>33160.79</v>
      </c>
      <c r="V81" s="102">
        <v>364061.27000000014</v>
      </c>
      <c r="W81" s="102">
        <v>139.6</v>
      </c>
      <c r="X81" s="102">
        <v>-912.6899999999996</v>
      </c>
      <c r="Y81" s="102">
        <v>9510.6</v>
      </c>
      <c r="Z81" s="102">
        <v>31694.129999999997</v>
      </c>
      <c r="AA81" s="102">
        <v>372798.7800000001</v>
      </c>
      <c r="AB81" s="102">
        <v>10887.029999999982</v>
      </c>
      <c r="AC81" s="102">
        <v>1306.443599999999</v>
      </c>
      <c r="AD81" s="102">
        <v>12193.473599999983</v>
      </c>
      <c r="AE81" s="102">
        <v>35361.07343999995</v>
      </c>
      <c r="AF81" s="102">
        <v>-3597.0010619782506</v>
      </c>
      <c r="AG81" s="102">
        <v>31764.072378021694</v>
      </c>
      <c r="AH81" s="102">
        <v>5130.43252749629</v>
      </c>
      <c r="AI81" s="102"/>
      <c r="AJ81" s="102"/>
      <c r="AK81" s="199"/>
      <c r="AL81" s="102" t="s">
        <v>28</v>
      </c>
      <c r="AM81" s="102"/>
      <c r="AN81" s="102"/>
      <c r="AO81" s="102">
        <f>SUM(AO51:AO80)</f>
        <v>23770.25</v>
      </c>
      <c r="AP81" s="102">
        <f aca="true" t="shared" si="10" ref="AP81:BB81">SUM(AP51:AP80)</f>
        <v>374439.17</v>
      </c>
      <c r="AQ81" s="102">
        <f t="shared" si="10"/>
        <v>139.6</v>
      </c>
      <c r="AR81" s="102">
        <f t="shared" si="10"/>
        <v>-912.6899999999996</v>
      </c>
      <c r="AS81" s="102">
        <f t="shared" si="10"/>
        <v>9510.6</v>
      </c>
      <c r="AT81" s="102">
        <f t="shared" si="10"/>
        <v>31694.129999999997</v>
      </c>
      <c r="AU81" s="102">
        <f t="shared" si="10"/>
        <v>383176.68</v>
      </c>
      <c r="AV81" s="102">
        <f t="shared" si="10"/>
        <v>10377.900000000007</v>
      </c>
      <c r="AW81" s="102">
        <f t="shared" si="10"/>
        <v>1245.3480000000013</v>
      </c>
      <c r="AX81" s="102">
        <f t="shared" si="10"/>
        <v>11623.248000000007</v>
      </c>
      <c r="AY81" s="102">
        <f t="shared" si="10"/>
        <v>33707.41920000002</v>
      </c>
      <c r="AZ81" s="102">
        <f t="shared" si="10"/>
        <v>-3597.0000000000136</v>
      </c>
      <c r="BA81" s="102">
        <f t="shared" si="10"/>
        <v>30110.419200000008</v>
      </c>
      <c r="BB81" s="102">
        <f t="shared" si="10"/>
        <v>11470.601727496298</v>
      </c>
      <c r="BC81" s="102"/>
      <c r="BD81" s="102"/>
      <c r="DE81" s="183"/>
    </row>
    <row r="82" spans="17:109" s="47" customFormat="1" ht="19.5" customHeight="1">
      <c r="Q82" s="48"/>
      <c r="R82" s="48" t="s">
        <v>44</v>
      </c>
      <c r="S82" s="48"/>
      <c r="T82" s="48"/>
      <c r="U82" s="48"/>
      <c r="V82" s="48"/>
      <c r="W82" s="48"/>
      <c r="X82" s="48"/>
      <c r="Y82" s="48"/>
      <c r="Z82" s="48"/>
      <c r="AA82" s="48"/>
      <c r="AB82" s="48">
        <v>10887.030000000028</v>
      </c>
      <c r="AC82" s="48">
        <v>1306.4436000000042</v>
      </c>
      <c r="AD82" s="48">
        <v>12193.473599999981</v>
      </c>
      <c r="AE82" s="48">
        <v>35361.07343999995</v>
      </c>
      <c r="AF82" s="48">
        <v>-3596.9999999999995</v>
      </c>
      <c r="AG82" s="48">
        <v>31764.072378021698</v>
      </c>
      <c r="AH82" s="48">
        <v>5130.432527496287</v>
      </c>
      <c r="AI82" s="48"/>
      <c r="AJ82" s="48"/>
      <c r="AK82" s="48"/>
      <c r="AL82" s="48" t="s">
        <v>44</v>
      </c>
      <c r="AM82" s="48"/>
      <c r="AN82" s="48"/>
      <c r="AO82" s="48"/>
      <c r="AP82" s="48"/>
      <c r="AQ82" s="48"/>
      <c r="AR82" s="48"/>
      <c r="AS82" s="48"/>
      <c r="AT82" s="48"/>
      <c r="AU82" s="48">
        <f>AP81+AQ81+AR81+AS81</f>
        <v>383176.67999999993</v>
      </c>
      <c r="AV82" s="201">
        <f>AU81-AA81</f>
        <v>10377.899999999907</v>
      </c>
      <c r="AW82" s="48">
        <f>V37</f>
        <v>1245.3479999999963</v>
      </c>
      <c r="AX82" s="48">
        <f>AV81+AW81</f>
        <v>11623.248000000009</v>
      </c>
      <c r="AY82" s="48">
        <f>AX81*2.9</f>
        <v>33707.41920000002</v>
      </c>
      <c r="AZ82" s="48">
        <f>AD9</f>
        <v>-3596.9999999999995</v>
      </c>
      <c r="BA82" s="48">
        <f>AE9</f>
        <v>30110.419199999887</v>
      </c>
      <c r="BB82" s="48">
        <f>AH81-AO81+BA81</f>
        <v>11470.601727496298</v>
      </c>
      <c r="BC82" s="48"/>
      <c r="BD82" s="48"/>
      <c r="DE82" s="183"/>
    </row>
    <row r="83" spans="17:109" ht="69" customHeight="1">
      <c r="Q83" s="7" t="s">
        <v>0</v>
      </c>
      <c r="R83" s="7" t="s">
        <v>1</v>
      </c>
      <c r="S83" s="7" t="s">
        <v>34</v>
      </c>
      <c r="T83" s="7" t="s">
        <v>2</v>
      </c>
      <c r="U83" s="7" t="s">
        <v>185</v>
      </c>
      <c r="V83" s="7" t="s">
        <v>3</v>
      </c>
      <c r="W83" s="36" t="s">
        <v>97</v>
      </c>
      <c r="X83" s="36" t="s">
        <v>122</v>
      </c>
      <c r="Y83" s="36" t="s">
        <v>123</v>
      </c>
      <c r="Z83" s="36" t="s">
        <v>98</v>
      </c>
      <c r="AA83" s="7" t="s">
        <v>45</v>
      </c>
      <c r="AB83" s="7" t="s">
        <v>25</v>
      </c>
      <c r="AC83" s="7" t="s">
        <v>24</v>
      </c>
      <c r="AD83" s="7" t="s">
        <v>26</v>
      </c>
      <c r="AE83" s="7" t="s">
        <v>163</v>
      </c>
      <c r="AF83" s="7" t="s">
        <v>164</v>
      </c>
      <c r="AG83" s="7" t="s">
        <v>180</v>
      </c>
      <c r="AH83" s="7" t="s">
        <v>189</v>
      </c>
      <c r="AI83" s="7" t="s">
        <v>77</v>
      </c>
      <c r="AJ83" s="7" t="s">
        <v>80</v>
      </c>
      <c r="AK83" s="7" t="str">
        <f>AK50</f>
        <v>#</v>
      </c>
      <c r="AL83" s="7" t="str">
        <f aca="true" t="shared" si="11" ref="AL83:BD83">AL50</f>
        <v>Наименование_Точки_Учета</v>
      </c>
      <c r="AM83" s="7" t="str">
        <f t="shared" si="11"/>
        <v>Серийный_№</v>
      </c>
      <c r="AN83" s="7" t="str">
        <f t="shared" si="11"/>
        <v>дата</v>
      </c>
      <c r="AO83" s="7" t="str">
        <f t="shared" si="11"/>
        <v>оплачено в январе 2020</v>
      </c>
      <c r="AP83" s="7" t="str">
        <f t="shared" si="11"/>
        <v>СуммАктЭн</v>
      </c>
      <c r="AQ83" s="7" t="str">
        <f t="shared" si="1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7" t="str">
        <f t="shared" si="11"/>
        <v>Корректировка показаний 
ПУ за текущий год
(показания ст.ПУ минус показания нов.ПУ на дату монтажа )</v>
      </c>
      <c r="AS83" s="7" t="str">
        <f t="shared" si="11"/>
        <v>Корректировка показаний ПУ за прошлый год
(не включено в сальдо показаний на начало года)</v>
      </c>
      <c r="AT83" s="7" t="str">
        <f t="shared" si="11"/>
        <v>Корректировка показаний ПУ за прошлые периоды
(включено в сальдо показаний на начало года)</v>
      </c>
      <c r="AU83" s="7" t="str">
        <f t="shared" si="11"/>
        <v>Показания счетчиков в расчет</v>
      </c>
      <c r="AV83" s="7" t="str">
        <f t="shared" si="11"/>
        <v>Потребление</v>
      </c>
      <c r="AW83" s="7" t="str">
        <f t="shared" si="11"/>
        <v>Потери, кВт</v>
      </c>
      <c r="AX83" s="7" t="str">
        <f t="shared" si="11"/>
        <v>Потребление+ потери, кВт</v>
      </c>
      <c r="AY83" s="7" t="str">
        <f t="shared" si="11"/>
        <v>Сумма к оплате, руб. тариф 2,90руб./кВт</v>
      </c>
      <c r="AZ83" s="7" t="str">
        <f t="shared" si="11"/>
        <v>к возмещению от п2п3п4п5п6, руб.</v>
      </c>
      <c r="BA83" s="7" t="str">
        <f t="shared" si="11"/>
        <v>Сумаа к начислению по садоводам с учетом возмещения, руб.</v>
      </c>
      <c r="BB83" s="7" t="str">
        <f t="shared" si="11"/>
        <v>Переплата (-)
Долг(+) 
на 01.02.2020</v>
      </c>
      <c r="BC83" s="7" t="str">
        <f t="shared" si="11"/>
        <v>Способ получения показаний:
1=Показания ПУ
2=Показания ПУ с уч.показаний ст.ПУ
РО=расчет.объем показаний
0=Демонтаж счетчика</v>
      </c>
      <c r="BD83" s="7" t="str">
        <f t="shared" si="11"/>
        <v>Вид начисления</v>
      </c>
      <c r="DC83" s="6"/>
      <c r="DE83" s="99"/>
    </row>
  </sheetData>
  <sheetProtection/>
  <mergeCells count="7">
    <mergeCell ref="Q49:AJ49"/>
    <mergeCell ref="AK49:BD49"/>
    <mergeCell ref="Q1:X1"/>
    <mergeCell ref="Y2:AB2"/>
    <mergeCell ref="AC2:AF2"/>
    <mergeCell ref="AG2:AJ2"/>
    <mergeCell ref="AK2:A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Q1:DY83"/>
  <sheetViews>
    <sheetView tabSelected="1" view="pageBreakPreview" zoomScaleSheetLayoutView="100" zoomScalePageLayoutView="0" workbookViewId="0" topLeftCell="Q1">
      <selection activeCell="T7" sqref="T7"/>
    </sheetView>
  </sheetViews>
  <sheetFormatPr defaultColWidth="9.140625" defaultRowHeight="12.75"/>
  <cols>
    <col min="1" max="1" width="9.28125" style="6" hidden="1" customWidth="1"/>
    <col min="2" max="2" width="23.57421875" style="6" hidden="1" customWidth="1"/>
    <col min="3" max="3" width="0" style="6" hidden="1" customWidth="1"/>
    <col min="4" max="10" width="9.28125" style="6" hidden="1" customWidth="1"/>
    <col min="11" max="11" width="10.57421875" style="6" hidden="1" customWidth="1"/>
    <col min="12" max="13" width="10.00390625" style="6" hidden="1" customWidth="1"/>
    <col min="14" max="14" width="11.57421875" style="6" hidden="1" customWidth="1"/>
    <col min="15" max="15" width="17.140625" style="6" hidden="1" customWidth="1"/>
    <col min="16" max="16" width="16.7109375" style="6" hidden="1" customWidth="1"/>
    <col min="17" max="17" width="9.140625" style="6" customWidth="1"/>
    <col min="18" max="18" width="28.140625" style="6" customWidth="1"/>
    <col min="19" max="19" width="14.57421875" style="6" bestFit="1" customWidth="1"/>
    <col min="20" max="20" width="13.421875" style="6" customWidth="1"/>
    <col min="21" max="21" width="12.00390625" style="6" customWidth="1"/>
    <col min="22" max="22" width="13.28125" style="6" customWidth="1"/>
    <col min="23" max="23" width="15.57421875" style="6" customWidth="1"/>
    <col min="24" max="24" width="14.8515625" style="6" customWidth="1"/>
    <col min="25" max="25" width="20.57421875" style="6" customWidth="1"/>
    <col min="26" max="26" width="13.421875" style="6" customWidth="1"/>
    <col min="27" max="27" width="10.8515625" style="6" customWidth="1"/>
    <col min="28" max="28" width="18.57421875" style="6" customWidth="1"/>
    <col min="29" max="29" width="13.00390625" style="6" customWidth="1"/>
    <col min="30" max="30" width="11.28125" style="6" customWidth="1"/>
    <col min="31" max="31" width="10.8515625" style="6" customWidth="1"/>
    <col min="32" max="32" width="11.7109375" style="6" customWidth="1"/>
    <col min="33" max="33" width="15.28125" style="6" customWidth="1"/>
    <col min="34" max="34" width="10.7109375" style="6" customWidth="1"/>
    <col min="35" max="35" width="16.28125" style="6" customWidth="1"/>
    <col min="36" max="36" width="16.7109375" style="6" customWidth="1"/>
    <col min="37" max="37" width="12.140625" style="6" customWidth="1"/>
    <col min="38" max="38" width="25.57421875" style="6" customWidth="1"/>
    <col min="39" max="55" width="12.7109375" style="6" customWidth="1"/>
    <col min="56" max="56" width="24.421875" style="6" customWidth="1"/>
    <col min="57" max="57" width="9.140625" style="6" customWidth="1"/>
    <col min="58" max="58" width="27.140625" style="6" customWidth="1"/>
    <col min="59" max="59" width="9.28125" style="6" bestFit="1" customWidth="1"/>
    <col min="60" max="60" width="11.28125" style="6" customWidth="1"/>
    <col min="61" max="64" width="9.28125" style="6" bestFit="1" customWidth="1"/>
    <col min="65" max="65" width="10.8515625" style="6" customWidth="1"/>
    <col min="66" max="70" width="9.421875" style="6" bestFit="1" customWidth="1"/>
    <col min="71" max="71" width="12.8515625" style="6" customWidth="1"/>
    <col min="72" max="72" width="11.28125" style="6" customWidth="1"/>
    <col min="73" max="73" width="11.00390625" style="6" customWidth="1"/>
    <col min="74" max="74" width="13.421875" style="6" customWidth="1"/>
    <col min="75" max="75" width="12.421875" style="6" customWidth="1"/>
    <col min="76" max="76" width="17.140625" style="6" customWidth="1"/>
    <col min="77" max="83" width="9.28125" style="6" bestFit="1" customWidth="1"/>
    <col min="84" max="88" width="9.421875" style="6" bestFit="1" customWidth="1"/>
    <col min="89" max="89" width="10.8515625" style="6" customWidth="1"/>
    <col min="90" max="90" width="12.00390625" style="6" customWidth="1"/>
    <col min="91" max="91" width="9.140625" style="6" customWidth="1"/>
    <col min="92" max="92" width="27.57421875" style="6" customWidth="1"/>
    <col min="93" max="94" width="9.140625" style="6" customWidth="1"/>
    <col min="95" max="96" width="9.28125" style="6" bestFit="1" customWidth="1"/>
    <col min="97" max="100" width="9.140625" style="6" hidden="1" customWidth="1"/>
    <col min="101" max="101" width="10.140625" style="6" bestFit="1" customWidth="1"/>
    <col min="102" max="106" width="9.421875" style="6" bestFit="1" customWidth="1"/>
    <col min="107" max="107" width="10.7109375" style="99" customWidth="1"/>
    <col min="108" max="108" width="16.421875" style="6" customWidth="1"/>
    <col min="109" max="109" width="6.8515625" style="6" customWidth="1"/>
    <col min="110" max="110" width="27.421875" style="6" customWidth="1"/>
    <col min="111" max="111" width="10.140625" style="6" customWidth="1"/>
    <col min="112" max="112" width="13.8515625" style="6" customWidth="1"/>
    <col min="113" max="113" width="10.28125" style="6" customWidth="1"/>
    <col min="114" max="114" width="11.28125" style="6" customWidth="1"/>
    <col min="115" max="118" width="0" style="6" hidden="1" customWidth="1"/>
    <col min="119" max="119" width="13.00390625" style="6" customWidth="1"/>
    <col min="120" max="122" width="9.421875" style="6" bestFit="1" customWidth="1"/>
    <col min="123" max="123" width="10.140625" style="6" bestFit="1" customWidth="1"/>
    <col min="124" max="124" width="9.421875" style="6" bestFit="1" customWidth="1"/>
    <col min="125" max="125" width="10.57421875" style="6" customWidth="1"/>
    <col min="126" max="126" width="15.57421875" style="6" customWidth="1"/>
    <col min="127" max="127" width="9.140625" style="6" customWidth="1"/>
    <col min="128" max="128" width="33.00390625" style="6" customWidth="1"/>
    <col min="129" max="136" width="9.140625" style="6" customWidth="1"/>
    <col min="137" max="137" width="10.140625" style="6" bestFit="1" customWidth="1"/>
    <col min="138" max="142" width="9.28125" style="6" bestFit="1" customWidth="1"/>
    <col min="143" max="143" width="9.140625" style="6" customWidth="1"/>
    <col min="144" max="144" width="22.28125" style="6" customWidth="1"/>
    <col min="145" max="145" width="6.8515625" style="6" customWidth="1"/>
    <col min="146" max="146" width="30.7109375" style="6" customWidth="1"/>
    <col min="147" max="148" width="9.140625" style="6" customWidth="1"/>
    <col min="149" max="149" width="9.28125" style="6" bestFit="1" customWidth="1"/>
    <col min="150" max="154" width="9.140625" style="6" customWidth="1"/>
    <col min="155" max="155" width="10.140625" style="6" bestFit="1" customWidth="1"/>
    <col min="156" max="160" width="9.28125" style="6" bestFit="1" customWidth="1"/>
    <col min="161" max="161" width="9.140625" style="6" customWidth="1"/>
    <col min="162" max="162" width="22.140625" style="6" customWidth="1"/>
    <col min="163" max="163" width="9.140625" style="6" customWidth="1"/>
    <col min="164" max="164" width="23.00390625" style="6" customWidth="1"/>
    <col min="165" max="172" width="9.140625" style="6" customWidth="1"/>
    <col min="173" max="173" width="10.140625" style="6" bestFit="1" customWidth="1"/>
    <col min="174" max="180" width="9.28125" style="6" bestFit="1" customWidth="1"/>
    <col min="181" max="181" width="11.7109375" style="6" customWidth="1"/>
    <col min="182" max="182" width="12.8515625" style="6" customWidth="1"/>
    <col min="183" max="183" width="9.140625" style="6" customWidth="1"/>
    <col min="184" max="184" width="30.8515625" style="6" customWidth="1"/>
    <col min="185" max="185" width="9.140625" style="6" customWidth="1"/>
    <col min="186" max="187" width="11.7109375" style="6" customWidth="1"/>
    <col min="188" max="188" width="13.140625" style="6" customWidth="1"/>
    <col min="189" max="192" width="9.140625" style="6" customWidth="1"/>
    <col min="193" max="193" width="10.7109375" style="6" customWidth="1"/>
    <col min="194" max="200" width="9.28125" style="6" bestFit="1" customWidth="1"/>
    <col min="201" max="201" width="9.140625" style="6" customWidth="1"/>
    <col min="202" max="202" width="16.8515625" style="6" customWidth="1"/>
    <col min="203" max="203" width="5.28125" style="6" customWidth="1"/>
    <col min="204" max="204" width="32.7109375" style="6" customWidth="1"/>
    <col min="205" max="205" width="9.140625" style="6" customWidth="1"/>
    <col min="206" max="207" width="13.00390625" style="6" customWidth="1"/>
    <col min="208" max="208" width="10.8515625" style="6" customWidth="1"/>
    <col min="209" max="212" width="9.28125" style="6" bestFit="1" customWidth="1"/>
    <col min="213" max="213" width="10.8515625" style="6" customWidth="1"/>
    <col min="214" max="216" width="9.28125" style="6" bestFit="1" customWidth="1"/>
    <col min="217" max="217" width="9.8515625" style="6" customWidth="1"/>
    <col min="218" max="221" width="9.28125" style="6" bestFit="1" customWidth="1"/>
    <col min="222" max="222" width="14.8515625" style="6" customWidth="1"/>
    <col min="223" max="223" width="7.57421875" style="6" customWidth="1"/>
    <col min="224" max="224" width="28.28125" style="6" customWidth="1"/>
    <col min="225" max="241" width="9.140625" style="6" customWidth="1"/>
    <col min="242" max="242" width="14.7109375" style="6" customWidth="1"/>
    <col min="243" max="16384" width="9.140625" style="6" customWidth="1"/>
  </cols>
  <sheetData>
    <row r="1" spans="17:24" ht="32.25" customHeight="1">
      <c r="Q1" s="220" t="s">
        <v>190</v>
      </c>
      <c r="R1" s="220"/>
      <c r="S1" s="220"/>
      <c r="T1" s="220"/>
      <c r="U1" s="220"/>
      <c r="V1" s="220"/>
      <c r="W1" s="220"/>
      <c r="X1" s="220"/>
    </row>
    <row r="2" spans="17:40" ht="46.5" customHeight="1">
      <c r="Q2" s="11"/>
      <c r="R2" s="11" t="s">
        <v>30</v>
      </c>
      <c r="S2" s="11" t="s">
        <v>2</v>
      </c>
      <c r="T2" s="11" t="s">
        <v>27</v>
      </c>
      <c r="U2" s="11" t="s">
        <v>94</v>
      </c>
      <c r="V2" s="11" t="s">
        <v>87</v>
      </c>
      <c r="W2" s="11" t="s">
        <v>42</v>
      </c>
      <c r="X2" s="11" t="s">
        <v>88</v>
      </c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</row>
    <row r="3" spans="17:40" ht="19.5" customHeight="1">
      <c r="Q3" s="7"/>
      <c r="R3" s="7" t="s">
        <v>160</v>
      </c>
      <c r="S3" s="7" t="s">
        <v>191</v>
      </c>
      <c r="T3" s="7">
        <v>1.81</v>
      </c>
      <c r="U3" s="7"/>
      <c r="V3" s="7"/>
      <c r="W3" s="7"/>
      <c r="X3" s="7"/>
      <c r="Y3" s="188"/>
      <c r="Z3" s="189"/>
      <c r="AA3" s="189"/>
      <c r="AB3" s="189"/>
      <c r="AC3" s="188"/>
      <c r="AD3" s="189"/>
      <c r="AE3" s="189"/>
      <c r="AF3" s="189"/>
      <c r="AG3" s="190"/>
      <c r="AH3" s="184"/>
      <c r="AI3" s="184"/>
      <c r="AJ3" s="184"/>
      <c r="AK3" s="191"/>
      <c r="AL3" s="184"/>
      <c r="AM3" s="184"/>
      <c r="AN3" s="184"/>
    </row>
    <row r="4" spans="17:40" ht="19.5" customHeight="1">
      <c r="Q4" s="7"/>
      <c r="R4" s="7" t="s">
        <v>81</v>
      </c>
      <c r="S4" s="7" t="s">
        <v>106</v>
      </c>
      <c r="T4" s="7">
        <v>2.9</v>
      </c>
      <c r="U4" s="7"/>
      <c r="V4" s="7"/>
      <c r="W4" s="7"/>
      <c r="X4" s="7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7:40" ht="19.5" customHeight="1">
      <c r="Q5" s="7"/>
      <c r="R5" s="7" t="s">
        <v>160</v>
      </c>
      <c r="S5" s="7" t="s">
        <v>192</v>
      </c>
      <c r="T5" s="7">
        <v>1.9</v>
      </c>
      <c r="U5" s="7"/>
      <c r="V5" s="7"/>
      <c r="W5" s="7"/>
      <c r="X5" s="7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7:40" ht="19.5" customHeight="1" thickBot="1">
      <c r="Q6" s="7"/>
      <c r="R6" s="7" t="s">
        <v>81</v>
      </c>
      <c r="S6" s="7" t="s">
        <v>107</v>
      </c>
      <c r="T6" s="7">
        <v>3.05</v>
      </c>
      <c r="U6" s="7"/>
      <c r="V6" s="7"/>
      <c r="W6" s="7"/>
      <c r="X6" s="7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17:40" ht="48.75" customHeight="1">
      <c r="Q7" s="11"/>
      <c r="R7" s="11" t="s">
        <v>92</v>
      </c>
      <c r="S7" s="23">
        <v>43823</v>
      </c>
      <c r="T7" s="11">
        <f>1941*200</f>
        <v>388200</v>
      </c>
      <c r="U7" s="11"/>
      <c r="V7" s="11"/>
      <c r="W7" s="11"/>
      <c r="X7" s="185"/>
      <c r="Y7" s="202" t="s">
        <v>168</v>
      </c>
      <c r="Z7" s="203" t="s">
        <v>169</v>
      </c>
      <c r="AA7" s="203" t="s">
        <v>194</v>
      </c>
      <c r="AB7" s="204" t="s">
        <v>196</v>
      </c>
      <c r="AC7" s="203" t="s">
        <v>195</v>
      </c>
      <c r="AD7" s="203" t="s">
        <v>197</v>
      </c>
      <c r="AE7" s="205" t="s">
        <v>201</v>
      </c>
      <c r="AF7" s="184"/>
      <c r="AG7" s="184"/>
      <c r="AH7" s="184"/>
      <c r="AI7" s="184"/>
      <c r="AJ7" s="184"/>
      <c r="AK7" s="184"/>
      <c r="AL7" s="184"/>
      <c r="AM7" s="184"/>
      <c r="AN7" s="184"/>
    </row>
    <row r="8" spans="17:40" ht="19.5" customHeight="1">
      <c r="Q8" s="12">
        <v>1</v>
      </c>
      <c r="R8" s="9">
        <v>43831</v>
      </c>
      <c r="S8" s="8">
        <v>43853</v>
      </c>
      <c r="T8" s="14">
        <f>2034*200</f>
        <v>406800</v>
      </c>
      <c r="U8" s="7">
        <f>T8-T7</f>
        <v>18600</v>
      </c>
      <c r="V8" s="7">
        <f>V36/U36*100</f>
        <v>79.22701124505018</v>
      </c>
      <c r="W8" s="7" t="s">
        <v>32</v>
      </c>
      <c r="X8" s="129"/>
      <c r="Y8" s="206"/>
      <c r="Z8" s="14"/>
      <c r="AA8" s="14"/>
      <c r="AB8" s="14"/>
      <c r="AC8" s="14"/>
      <c r="AD8" s="14"/>
      <c r="AE8" s="207"/>
      <c r="AF8" s="184"/>
      <c r="AG8" s="184"/>
      <c r="AH8" s="184"/>
      <c r="AI8" s="184"/>
      <c r="AJ8" s="184"/>
      <c r="AK8" s="184"/>
      <c r="AL8" s="184"/>
      <c r="AM8" s="184"/>
      <c r="AN8" s="184"/>
    </row>
    <row r="9" spans="17:40" ht="20.25" customHeight="1">
      <c r="Q9" s="173"/>
      <c r="R9" s="174" t="s">
        <v>184</v>
      </c>
      <c r="S9" s="175"/>
      <c r="T9" s="17"/>
      <c r="U9" s="17">
        <f>U37*1.12</f>
        <v>11623.247999999961</v>
      </c>
      <c r="V9" s="17">
        <f>V37/U36*100</f>
        <v>12.000000000000005</v>
      </c>
      <c r="W9" s="17" t="s">
        <v>32</v>
      </c>
      <c r="X9" s="186">
        <f>V9</f>
        <v>12.000000000000005</v>
      </c>
      <c r="Y9" s="206">
        <f>U9</f>
        <v>11623.247999999961</v>
      </c>
      <c r="Z9" s="14">
        <v>2.9</v>
      </c>
      <c r="AA9" s="14">
        <f>Y9*Z9</f>
        <v>33707.41919999989</v>
      </c>
      <c r="AB9" s="14">
        <f>-30*110</f>
        <v>-3300</v>
      </c>
      <c r="AC9" s="14">
        <f>2.9-1.81</f>
        <v>1.0899999999999999</v>
      </c>
      <c r="AD9" s="14">
        <f>AB9*AC9</f>
        <v>-3596.9999999999995</v>
      </c>
      <c r="AE9" s="207">
        <f>AA9+AD9</f>
        <v>30110.419199999887</v>
      </c>
      <c r="AF9" s="184"/>
      <c r="AG9" s="184"/>
      <c r="AH9" s="184"/>
      <c r="AI9" s="184"/>
      <c r="AJ9" s="184"/>
      <c r="AK9" s="184"/>
      <c r="AL9" s="184"/>
      <c r="AM9" s="184"/>
      <c r="AN9" s="184"/>
    </row>
    <row r="10" spans="17:40" ht="25.5" customHeight="1">
      <c r="Q10" s="173"/>
      <c r="R10" s="174" t="s">
        <v>203</v>
      </c>
      <c r="S10" s="175"/>
      <c r="T10" s="17"/>
      <c r="U10" s="17">
        <f>U8-U9</f>
        <v>6976.752000000039</v>
      </c>
      <c r="V10" s="17"/>
      <c r="W10" s="17"/>
      <c r="X10" s="186"/>
      <c r="Y10" s="206"/>
      <c r="Z10" s="14"/>
      <c r="AA10" s="14"/>
      <c r="AB10" s="14"/>
      <c r="AC10" s="14"/>
      <c r="AD10" s="14"/>
      <c r="AE10" s="207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7:40" ht="19.5" customHeight="1">
      <c r="Q11" s="12">
        <v>2</v>
      </c>
      <c r="R11" s="9">
        <v>43862</v>
      </c>
      <c r="S11" s="8">
        <v>43886</v>
      </c>
      <c r="T11" s="7">
        <v>419400</v>
      </c>
      <c r="U11" s="7">
        <f>T11-T8</f>
        <v>12600</v>
      </c>
      <c r="V11" s="7">
        <f>V38/U38*100</f>
        <v>25.167137864648886</v>
      </c>
      <c r="W11" s="7" t="s">
        <v>32</v>
      </c>
      <c r="X11" s="129">
        <f>(V9+V11)/2</f>
        <v>18.583568932324447</v>
      </c>
      <c r="Y11" s="206">
        <f>U11</f>
        <v>12600</v>
      </c>
      <c r="Z11" s="14">
        <v>2.9</v>
      </c>
      <c r="AA11" s="14">
        <f>Y11*Z11</f>
        <v>36540</v>
      </c>
      <c r="AB11" s="14">
        <f>-30*110</f>
        <v>-3300</v>
      </c>
      <c r="AC11" s="14">
        <v>1.09</v>
      </c>
      <c r="AD11" s="14">
        <f>AB11*AC11</f>
        <v>-3597.0000000000005</v>
      </c>
      <c r="AE11" s="207">
        <f>AA11+AD11</f>
        <v>32943</v>
      </c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7:40" ht="19.5" customHeight="1">
      <c r="Q12" s="12">
        <v>3</v>
      </c>
      <c r="R12" s="9">
        <v>43891</v>
      </c>
      <c r="S12" s="8"/>
      <c r="T12" s="7"/>
      <c r="U12" s="7"/>
      <c r="V12" s="7"/>
      <c r="W12" s="7" t="s">
        <v>32</v>
      </c>
      <c r="X12" s="129"/>
      <c r="Y12" s="206"/>
      <c r="Z12" s="133"/>
      <c r="AA12" s="133"/>
      <c r="AB12" s="133"/>
      <c r="AC12" s="14"/>
      <c r="AD12" s="14"/>
      <c r="AE12" s="208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7:40" ht="19.5" customHeight="1">
      <c r="Q13" s="12">
        <v>4</v>
      </c>
      <c r="R13" s="9">
        <v>43922</v>
      </c>
      <c r="S13" s="8"/>
      <c r="T13" s="7"/>
      <c r="U13" s="7"/>
      <c r="V13" s="7"/>
      <c r="W13" s="7" t="s">
        <v>32</v>
      </c>
      <c r="X13" s="129"/>
      <c r="Y13" s="206"/>
      <c r="Z13" s="14"/>
      <c r="AA13" s="14"/>
      <c r="AB13" s="14"/>
      <c r="AC13" s="14"/>
      <c r="AD13" s="14"/>
      <c r="AE13" s="208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7:40" ht="19.5" customHeight="1">
      <c r="Q14" s="12">
        <v>5</v>
      </c>
      <c r="R14" s="9">
        <v>43952</v>
      </c>
      <c r="S14" s="8"/>
      <c r="T14" s="7"/>
      <c r="U14" s="7"/>
      <c r="V14" s="7"/>
      <c r="W14" s="7" t="s">
        <v>32</v>
      </c>
      <c r="X14" s="129"/>
      <c r="Y14" s="206"/>
      <c r="Z14" s="14"/>
      <c r="AA14" s="14"/>
      <c r="AB14" s="14"/>
      <c r="AC14" s="14"/>
      <c r="AD14" s="14"/>
      <c r="AE14" s="208"/>
      <c r="AF14" s="184"/>
      <c r="AG14" s="184"/>
      <c r="AH14" s="184"/>
      <c r="AI14" s="184"/>
      <c r="AJ14" s="184"/>
      <c r="AK14" s="184"/>
      <c r="AL14" s="184"/>
      <c r="AM14" s="184"/>
      <c r="AN14" s="184"/>
    </row>
    <row r="15" spans="17:40" ht="19.5" customHeight="1">
      <c r="Q15" s="12">
        <v>6</v>
      </c>
      <c r="R15" s="9">
        <v>43983</v>
      </c>
      <c r="S15" s="8"/>
      <c r="T15" s="7"/>
      <c r="U15" s="7"/>
      <c r="V15" s="7"/>
      <c r="W15" s="7" t="s">
        <v>32</v>
      </c>
      <c r="X15" s="129"/>
      <c r="Y15" s="206"/>
      <c r="Z15" s="14"/>
      <c r="AA15" s="14"/>
      <c r="AB15" s="14"/>
      <c r="AC15" s="14"/>
      <c r="AD15" s="14"/>
      <c r="AE15" s="208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7:111" ht="18.75" customHeight="1">
      <c r="Q16" s="12">
        <v>7</v>
      </c>
      <c r="R16" s="9">
        <v>44013</v>
      </c>
      <c r="S16" s="8"/>
      <c r="T16" s="7"/>
      <c r="U16" s="7"/>
      <c r="V16" s="7"/>
      <c r="W16" s="7" t="s">
        <v>32</v>
      </c>
      <c r="X16" s="129"/>
      <c r="Y16" s="206"/>
      <c r="Z16" s="14"/>
      <c r="AA16" s="14"/>
      <c r="AB16" s="14"/>
      <c r="AC16" s="14"/>
      <c r="AD16" s="14"/>
      <c r="AE16" s="208"/>
      <c r="AF16" s="184"/>
      <c r="AG16" s="184"/>
      <c r="AH16" s="184"/>
      <c r="AI16" s="184"/>
      <c r="AJ16" s="184"/>
      <c r="AK16" s="184"/>
      <c r="AL16" s="184"/>
      <c r="AM16" s="184"/>
      <c r="AN16" s="184"/>
      <c r="DC16" s="6"/>
      <c r="DG16" s="99"/>
    </row>
    <row r="17" spans="17:111" ht="24" customHeight="1">
      <c r="Q17" s="12">
        <v>8</v>
      </c>
      <c r="R17" s="9">
        <v>44044</v>
      </c>
      <c r="S17" s="8"/>
      <c r="T17" s="7"/>
      <c r="U17" s="7"/>
      <c r="V17" s="7"/>
      <c r="W17" s="7" t="s">
        <v>32</v>
      </c>
      <c r="X17" s="129"/>
      <c r="Y17" s="206"/>
      <c r="Z17" s="14"/>
      <c r="AA17" s="14"/>
      <c r="AB17" s="14"/>
      <c r="AC17" s="14"/>
      <c r="AD17" s="14"/>
      <c r="AE17" s="208"/>
      <c r="AF17" s="184"/>
      <c r="AG17" s="184"/>
      <c r="AH17" s="184"/>
      <c r="AI17" s="184"/>
      <c r="AJ17" s="184"/>
      <c r="AK17" s="184"/>
      <c r="AL17" s="184"/>
      <c r="AM17" s="184"/>
      <c r="AN17" s="184"/>
      <c r="DC17" s="6"/>
      <c r="DG17" s="99"/>
    </row>
    <row r="18" spans="17:111" ht="23.25" customHeight="1">
      <c r="Q18" s="12">
        <v>9</v>
      </c>
      <c r="R18" s="9">
        <v>44075</v>
      </c>
      <c r="S18" s="8"/>
      <c r="T18" s="7"/>
      <c r="U18" s="7"/>
      <c r="V18" s="7"/>
      <c r="W18" s="7" t="s">
        <v>32</v>
      </c>
      <c r="X18" s="129"/>
      <c r="Y18" s="206"/>
      <c r="Z18" s="14"/>
      <c r="AA18" s="14"/>
      <c r="AB18" s="14"/>
      <c r="AC18" s="14"/>
      <c r="AD18" s="14"/>
      <c r="AE18" s="208"/>
      <c r="AF18" s="184"/>
      <c r="AG18" s="184"/>
      <c r="AH18" s="184"/>
      <c r="AI18" s="184"/>
      <c r="AJ18" s="184"/>
      <c r="AK18" s="184"/>
      <c r="AL18" s="184"/>
      <c r="AM18" s="184"/>
      <c r="AN18" s="184"/>
      <c r="DC18" s="6"/>
      <c r="DG18" s="99"/>
    </row>
    <row r="19" spans="17:111" ht="19.5" customHeight="1">
      <c r="Q19" s="12">
        <v>10</v>
      </c>
      <c r="R19" s="9">
        <v>44105</v>
      </c>
      <c r="S19" s="8"/>
      <c r="T19" s="7"/>
      <c r="U19" s="7"/>
      <c r="V19" s="7"/>
      <c r="W19" s="7" t="s">
        <v>32</v>
      </c>
      <c r="X19" s="129"/>
      <c r="Y19" s="206"/>
      <c r="Z19" s="14"/>
      <c r="AA19" s="14"/>
      <c r="AB19" s="14"/>
      <c r="AC19" s="14"/>
      <c r="AD19" s="14"/>
      <c r="AE19" s="208"/>
      <c r="AF19" s="184"/>
      <c r="AG19" s="184"/>
      <c r="AH19" s="184"/>
      <c r="AI19" s="184"/>
      <c r="AJ19" s="184"/>
      <c r="AK19" s="184"/>
      <c r="AL19" s="184"/>
      <c r="AM19" s="184"/>
      <c r="AN19" s="184"/>
      <c r="DC19" s="6"/>
      <c r="DG19" s="99"/>
    </row>
    <row r="20" spans="17:40" ht="19.5" customHeight="1">
      <c r="Q20" s="12">
        <v>11</v>
      </c>
      <c r="R20" s="9">
        <v>44136</v>
      </c>
      <c r="S20" s="8"/>
      <c r="T20" s="7"/>
      <c r="U20" s="7"/>
      <c r="V20" s="7"/>
      <c r="W20" s="7" t="s">
        <v>32</v>
      </c>
      <c r="X20" s="129"/>
      <c r="Y20" s="209"/>
      <c r="Z20" s="133"/>
      <c r="AA20" s="133"/>
      <c r="AB20" s="195"/>
      <c r="AC20" s="133"/>
      <c r="AD20" s="133"/>
      <c r="AE20" s="207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7:40" ht="19.5" customHeight="1">
      <c r="Q21" s="176">
        <v>12</v>
      </c>
      <c r="R21" s="177">
        <v>43800</v>
      </c>
      <c r="S21" s="178"/>
      <c r="T21" s="14"/>
      <c r="U21" s="14"/>
      <c r="V21" s="14"/>
      <c r="W21" s="14" t="s">
        <v>32</v>
      </c>
      <c r="X21" s="187"/>
      <c r="Y21" s="209"/>
      <c r="Z21" s="133"/>
      <c r="AA21" s="133"/>
      <c r="AB21" s="195"/>
      <c r="AC21" s="133"/>
      <c r="AD21" s="133"/>
      <c r="AE21" s="207"/>
      <c r="AF21" s="184"/>
      <c r="AG21" s="184"/>
      <c r="AH21" s="184"/>
      <c r="AI21" s="184"/>
      <c r="AJ21" s="184"/>
      <c r="AK21" s="184"/>
      <c r="AL21" s="184"/>
      <c r="AM21" s="184"/>
      <c r="AN21" s="184"/>
    </row>
    <row r="22" spans="17:40" ht="26.25" customHeight="1" thickBot="1">
      <c r="Q22" s="24"/>
      <c r="R22" s="25" t="s">
        <v>93</v>
      </c>
      <c r="S22" s="23">
        <v>43830</v>
      </c>
      <c r="T22" s="11">
        <v>456800.01</v>
      </c>
      <c r="U22" s="11"/>
      <c r="V22" s="11"/>
      <c r="W22" s="11"/>
      <c r="X22" s="185"/>
      <c r="Y22" s="210"/>
      <c r="Z22" s="211"/>
      <c r="AA22" s="211"/>
      <c r="AB22" s="212"/>
      <c r="AC22" s="211"/>
      <c r="AD22" s="211"/>
      <c r="AE22" s="213"/>
      <c r="AF22" s="184"/>
      <c r="AG22" s="184"/>
      <c r="AH22" s="184"/>
      <c r="AI22" s="184"/>
      <c r="AJ22" s="184"/>
      <c r="AK22" s="184"/>
      <c r="AL22" s="184"/>
      <c r="AM22" s="184"/>
      <c r="AN22" s="184"/>
    </row>
    <row r="23" spans="17:30" ht="19.5" customHeight="1">
      <c r="Q23" s="12">
        <v>1</v>
      </c>
      <c r="R23" s="9">
        <v>43831</v>
      </c>
      <c r="S23" s="8">
        <v>43861</v>
      </c>
      <c r="T23" s="7">
        <v>468042.54</v>
      </c>
      <c r="U23" s="7">
        <f>T23-T22</f>
        <v>11242.52999999997</v>
      </c>
      <c r="V23" s="7">
        <f>(U23-U36)/U36*100</f>
        <v>8.331454340473579</v>
      </c>
      <c r="W23" s="7" t="s">
        <v>31</v>
      </c>
      <c r="X23" s="7">
        <f>V23</f>
        <v>8.331454340473579</v>
      </c>
      <c r="Y23" s="193"/>
      <c r="Z23" s="193"/>
      <c r="AA23" s="193"/>
      <c r="AB23" s="193"/>
      <c r="AC23" s="193"/>
      <c r="AD23" s="193"/>
    </row>
    <row r="24" spans="17:30" ht="19.5" customHeight="1">
      <c r="Q24" s="12">
        <v>2</v>
      </c>
      <c r="R24" s="9">
        <v>43862</v>
      </c>
      <c r="S24" s="8">
        <v>43890</v>
      </c>
      <c r="T24" s="7">
        <v>478858.71</v>
      </c>
      <c r="U24" s="7">
        <f>T24-T23</f>
        <v>10816.170000000042</v>
      </c>
      <c r="V24" s="7">
        <f>(U24-U37)/U37*100</f>
        <v>4.223108721418383</v>
      </c>
      <c r="W24" s="7" t="s">
        <v>31</v>
      </c>
      <c r="X24" s="7">
        <f>(V23+V24)/2</f>
        <v>6.277281530945981</v>
      </c>
      <c r="Y24" s="193"/>
      <c r="Z24" s="193"/>
      <c r="AA24" s="193"/>
      <c r="AB24" s="193"/>
      <c r="AC24" s="193"/>
      <c r="AD24" s="193"/>
    </row>
    <row r="25" spans="17:30" ht="19.5" customHeight="1">
      <c r="Q25" s="12">
        <v>3</v>
      </c>
      <c r="R25" s="9">
        <v>43891</v>
      </c>
      <c r="S25" s="8"/>
      <c r="T25" s="7"/>
      <c r="U25" s="7"/>
      <c r="V25" s="7"/>
      <c r="W25" s="7" t="s">
        <v>31</v>
      </c>
      <c r="X25" s="7"/>
      <c r="Y25" s="193"/>
      <c r="Z25" s="193"/>
      <c r="AA25" s="193"/>
      <c r="AB25" s="193"/>
      <c r="AC25" s="193"/>
      <c r="AD25" s="193"/>
    </row>
    <row r="26" spans="17:30" ht="19.5" customHeight="1">
      <c r="Q26" s="12">
        <v>4</v>
      </c>
      <c r="R26" s="9">
        <v>43922</v>
      </c>
      <c r="S26" s="8"/>
      <c r="T26" s="7"/>
      <c r="U26" s="7"/>
      <c r="V26" s="7"/>
      <c r="W26" s="7" t="s">
        <v>31</v>
      </c>
      <c r="X26" s="7"/>
      <c r="Y26" s="193"/>
      <c r="Z26" s="193"/>
      <c r="AA26" s="193"/>
      <c r="AB26" s="193"/>
      <c r="AC26" s="193"/>
      <c r="AD26" s="193"/>
    </row>
    <row r="27" spans="17:30" ht="19.5" customHeight="1">
      <c r="Q27" s="12">
        <v>5</v>
      </c>
      <c r="R27" s="9">
        <v>43952</v>
      </c>
      <c r="S27" s="8"/>
      <c r="T27" s="7"/>
      <c r="U27" s="7"/>
      <c r="V27" s="7"/>
      <c r="W27" s="7" t="s">
        <v>31</v>
      </c>
      <c r="X27" s="7"/>
      <c r="Y27" s="193"/>
      <c r="Z27" s="193"/>
      <c r="AA27" s="193"/>
      <c r="AB27" s="193"/>
      <c r="AC27" s="193"/>
      <c r="AD27" s="193"/>
    </row>
    <row r="28" spans="17:30" ht="19.5" customHeight="1">
      <c r="Q28" s="12">
        <v>6</v>
      </c>
      <c r="R28" s="9">
        <v>43983</v>
      </c>
      <c r="S28" s="8"/>
      <c r="T28" s="7"/>
      <c r="U28" s="7"/>
      <c r="V28" s="7"/>
      <c r="W28" s="7" t="s">
        <v>31</v>
      </c>
      <c r="X28" s="7"/>
      <c r="Y28" s="193"/>
      <c r="Z28" s="193"/>
      <c r="AA28" s="193"/>
      <c r="AB28" s="193"/>
      <c r="AC28" s="193"/>
      <c r="AD28" s="193"/>
    </row>
    <row r="29" spans="17:30" ht="19.5" customHeight="1">
      <c r="Q29" s="12">
        <v>7</v>
      </c>
      <c r="R29" s="9">
        <v>44013</v>
      </c>
      <c r="S29" s="8"/>
      <c r="T29" s="7"/>
      <c r="U29" s="7"/>
      <c r="V29" s="7"/>
      <c r="W29" s="7" t="s">
        <v>31</v>
      </c>
      <c r="X29" s="7"/>
      <c r="Y29" s="193"/>
      <c r="Z29" s="193"/>
      <c r="AA29" s="193"/>
      <c r="AB29" s="193"/>
      <c r="AC29" s="193"/>
      <c r="AD29" s="193"/>
    </row>
    <row r="30" spans="17:30" ht="19.5" customHeight="1">
      <c r="Q30" s="12">
        <v>8</v>
      </c>
      <c r="R30" s="9">
        <v>44044</v>
      </c>
      <c r="S30" s="8"/>
      <c r="T30" s="7"/>
      <c r="U30" s="7"/>
      <c r="V30" s="7"/>
      <c r="W30" s="7" t="s">
        <v>31</v>
      </c>
      <c r="X30" s="7"/>
      <c r="Y30" s="193"/>
      <c r="Z30" s="193"/>
      <c r="AA30" s="193"/>
      <c r="AB30" s="193"/>
      <c r="AC30" s="193"/>
      <c r="AD30" s="193"/>
    </row>
    <row r="31" spans="17:30" ht="19.5" customHeight="1">
      <c r="Q31" s="12">
        <v>9</v>
      </c>
      <c r="R31" s="9">
        <v>44075</v>
      </c>
      <c r="S31" s="8"/>
      <c r="T31" s="7"/>
      <c r="U31" s="7"/>
      <c r="V31" s="7"/>
      <c r="W31" s="7" t="s">
        <v>31</v>
      </c>
      <c r="X31" s="7"/>
      <c r="Y31" s="193"/>
      <c r="Z31" s="193"/>
      <c r="AA31" s="193"/>
      <c r="AB31" s="193"/>
      <c r="AC31" s="193"/>
      <c r="AD31" s="193"/>
    </row>
    <row r="32" spans="17:30" ht="19.5" customHeight="1">
      <c r="Q32" s="12">
        <v>10</v>
      </c>
      <c r="R32" s="9">
        <v>44105</v>
      </c>
      <c r="S32" s="8"/>
      <c r="T32" s="7"/>
      <c r="U32" s="7"/>
      <c r="V32" s="7"/>
      <c r="W32" s="7" t="s">
        <v>31</v>
      </c>
      <c r="X32" s="7"/>
      <c r="Y32" s="193"/>
      <c r="Z32" s="193"/>
      <c r="AA32" s="193"/>
      <c r="AB32" s="193"/>
      <c r="AC32" s="193"/>
      <c r="AD32" s="193"/>
    </row>
    <row r="33" spans="17:30" ht="19.5" customHeight="1">
      <c r="Q33" s="12">
        <v>11</v>
      </c>
      <c r="R33" s="9">
        <v>44136</v>
      </c>
      <c r="S33" s="8"/>
      <c r="T33" s="7"/>
      <c r="U33" s="7"/>
      <c r="V33" s="7"/>
      <c r="W33" s="7" t="s">
        <v>31</v>
      </c>
      <c r="X33" s="7"/>
      <c r="Y33" s="193"/>
      <c r="Z33" s="193"/>
      <c r="AA33" s="193"/>
      <c r="AB33" s="193"/>
      <c r="AC33" s="193"/>
      <c r="AD33" s="193"/>
    </row>
    <row r="34" spans="17:30" ht="19.5" customHeight="1">
      <c r="Q34" s="12">
        <v>12</v>
      </c>
      <c r="R34" s="9">
        <v>44166</v>
      </c>
      <c r="S34" s="8"/>
      <c r="T34" s="7"/>
      <c r="U34" s="7"/>
      <c r="V34" s="7"/>
      <c r="W34" s="7" t="s">
        <v>31</v>
      </c>
      <c r="X34" s="7"/>
      <c r="Y34" s="193"/>
      <c r="Z34" s="193"/>
      <c r="AA34" s="193"/>
      <c r="AB34" s="193"/>
      <c r="AC34" s="193"/>
      <c r="AD34" s="193"/>
    </row>
    <row r="35" spans="17:30" ht="49.5" customHeight="1">
      <c r="Q35" s="24"/>
      <c r="R35" s="25" t="s">
        <v>29</v>
      </c>
      <c r="S35" s="23">
        <v>43830</v>
      </c>
      <c r="T35" s="11">
        <v>372798.78</v>
      </c>
      <c r="U35" s="11"/>
      <c r="V35" s="11"/>
      <c r="W35" s="11"/>
      <c r="X35" s="11"/>
      <c r="Y35" s="192"/>
      <c r="Z35" s="192"/>
      <c r="AA35" s="192"/>
      <c r="AB35" s="194"/>
      <c r="AC35" s="192"/>
      <c r="AD35" s="192"/>
    </row>
    <row r="36" spans="17:30" ht="19.5" customHeight="1">
      <c r="Q36" s="12">
        <v>1</v>
      </c>
      <c r="R36" s="9">
        <v>43831</v>
      </c>
      <c r="S36" s="8">
        <v>43861</v>
      </c>
      <c r="T36" s="7">
        <v>383176.68</v>
      </c>
      <c r="U36" s="7">
        <f>T36-T35</f>
        <v>10377.899999999965</v>
      </c>
      <c r="V36" s="7">
        <f>U8-U36</f>
        <v>8222.100000000035</v>
      </c>
      <c r="W36" s="7" t="s">
        <v>33</v>
      </c>
      <c r="X36" s="7"/>
      <c r="Y36" s="193"/>
      <c r="Z36" s="193"/>
      <c r="AA36" s="193"/>
      <c r="AB36" s="193"/>
      <c r="AC36" s="193"/>
      <c r="AD36" s="193"/>
    </row>
    <row r="37" spans="17:30" ht="22.5" customHeight="1">
      <c r="Q37" s="173"/>
      <c r="R37" s="174" t="s">
        <v>193</v>
      </c>
      <c r="S37" s="175"/>
      <c r="T37" s="17"/>
      <c r="U37" s="17">
        <f>U36</f>
        <v>10377.899999999965</v>
      </c>
      <c r="V37" s="17">
        <f>U9-U37</f>
        <v>1245.3479999999963</v>
      </c>
      <c r="W37" s="17" t="s">
        <v>33</v>
      </c>
      <c r="X37" s="17"/>
      <c r="Y37" s="193"/>
      <c r="Z37" s="193"/>
      <c r="AA37" s="193"/>
      <c r="AB37" s="193"/>
      <c r="AC37" s="193"/>
      <c r="AD37" s="193"/>
    </row>
    <row r="38" spans="17:30" ht="23.25" customHeight="1">
      <c r="Q38" s="176">
        <v>2</v>
      </c>
      <c r="R38" s="177">
        <v>43862</v>
      </c>
      <c r="S38" s="178">
        <v>43890</v>
      </c>
      <c r="T38" s="14">
        <v>393243.22</v>
      </c>
      <c r="U38" s="7">
        <f>T38-T36</f>
        <v>10066.539999999979</v>
      </c>
      <c r="V38" s="7">
        <f>U11-U38</f>
        <v>2533.460000000021</v>
      </c>
      <c r="W38" s="7" t="s">
        <v>33</v>
      </c>
      <c r="X38" s="14"/>
      <c r="Y38" s="193"/>
      <c r="Z38" s="193"/>
      <c r="AA38" s="193"/>
      <c r="AB38" s="193"/>
      <c r="AC38" s="193"/>
      <c r="AD38" s="193"/>
    </row>
    <row r="39" spans="17:30" ht="19.5" customHeight="1">
      <c r="Q39" s="12">
        <v>3</v>
      </c>
      <c r="R39" s="9">
        <v>43891</v>
      </c>
      <c r="S39" s="8"/>
      <c r="T39" s="7"/>
      <c r="U39" s="7"/>
      <c r="V39" s="7"/>
      <c r="W39" s="7" t="s">
        <v>33</v>
      </c>
      <c r="X39" s="7"/>
      <c r="Y39" s="193"/>
      <c r="Z39" s="193"/>
      <c r="AA39" s="193"/>
      <c r="AB39" s="193"/>
      <c r="AC39" s="193"/>
      <c r="AD39" s="193"/>
    </row>
    <row r="40" spans="17:30" ht="19.5" customHeight="1">
      <c r="Q40" s="12">
        <v>4</v>
      </c>
      <c r="R40" s="9">
        <v>43922</v>
      </c>
      <c r="S40" s="8"/>
      <c r="T40" s="7"/>
      <c r="U40" s="7"/>
      <c r="V40" s="7"/>
      <c r="W40" s="7" t="s">
        <v>33</v>
      </c>
      <c r="X40" s="7"/>
      <c r="Y40" s="193"/>
      <c r="Z40" s="193"/>
      <c r="AA40" s="193"/>
      <c r="AB40" s="193"/>
      <c r="AC40" s="193"/>
      <c r="AD40" s="193"/>
    </row>
    <row r="41" spans="17:30" ht="19.5" customHeight="1">
      <c r="Q41" s="12">
        <v>5</v>
      </c>
      <c r="R41" s="9">
        <v>43952</v>
      </c>
      <c r="S41" s="8"/>
      <c r="T41" s="7"/>
      <c r="U41" s="7"/>
      <c r="V41" s="7"/>
      <c r="W41" s="7" t="s">
        <v>33</v>
      </c>
      <c r="X41" s="7"/>
      <c r="Y41" s="193"/>
      <c r="Z41" s="193"/>
      <c r="AA41" s="193"/>
      <c r="AB41" s="193"/>
      <c r="AC41" s="193"/>
      <c r="AD41" s="193"/>
    </row>
    <row r="42" spans="17:30" ht="19.5" customHeight="1">
      <c r="Q42" s="12">
        <v>6</v>
      </c>
      <c r="R42" s="9">
        <v>43983</v>
      </c>
      <c r="S42" s="8"/>
      <c r="T42" s="7"/>
      <c r="U42" s="7"/>
      <c r="V42" s="7"/>
      <c r="W42" s="7" t="s">
        <v>33</v>
      </c>
      <c r="X42" s="7"/>
      <c r="Y42" s="193"/>
      <c r="Z42" s="193"/>
      <c r="AA42" s="193"/>
      <c r="AB42" s="193"/>
      <c r="AC42" s="193"/>
      <c r="AD42" s="193"/>
    </row>
    <row r="43" spans="17:30" ht="19.5" customHeight="1">
      <c r="Q43" s="12">
        <v>7</v>
      </c>
      <c r="R43" s="9">
        <v>44013</v>
      </c>
      <c r="S43" s="8"/>
      <c r="T43" s="7"/>
      <c r="U43" s="7"/>
      <c r="V43" s="7"/>
      <c r="W43" s="7" t="s">
        <v>33</v>
      </c>
      <c r="X43" s="7"/>
      <c r="Y43" s="193"/>
      <c r="Z43" s="193"/>
      <c r="AA43" s="193"/>
      <c r="AB43" s="193"/>
      <c r="AC43" s="193"/>
      <c r="AD43" s="193"/>
    </row>
    <row r="44" spans="17:30" ht="19.5" customHeight="1">
      <c r="Q44" s="12">
        <v>8</v>
      </c>
      <c r="R44" s="9">
        <v>44044</v>
      </c>
      <c r="S44" s="8"/>
      <c r="T44" s="7"/>
      <c r="U44" s="7"/>
      <c r="V44" s="7"/>
      <c r="W44" s="7" t="s">
        <v>33</v>
      </c>
      <c r="X44" s="7"/>
      <c r="Y44" s="193"/>
      <c r="Z44" s="193"/>
      <c r="AA44" s="193"/>
      <c r="AB44" s="193"/>
      <c r="AC44" s="193"/>
      <c r="AD44" s="193"/>
    </row>
    <row r="45" spans="17:30" ht="19.5" customHeight="1">
      <c r="Q45" s="12">
        <v>9</v>
      </c>
      <c r="R45" s="9">
        <v>44075</v>
      </c>
      <c r="S45" s="8"/>
      <c r="T45" s="7"/>
      <c r="U45" s="7"/>
      <c r="V45" s="7"/>
      <c r="W45" s="7" t="s">
        <v>33</v>
      </c>
      <c r="X45" s="7"/>
      <c r="Y45" s="193"/>
      <c r="Z45" s="193"/>
      <c r="AA45" s="193"/>
      <c r="AB45" s="193"/>
      <c r="AC45" s="193"/>
      <c r="AD45" s="193"/>
    </row>
    <row r="46" spans="17:30" ht="19.5" customHeight="1">
      <c r="Q46" s="12">
        <v>10</v>
      </c>
      <c r="R46" s="9">
        <v>44105</v>
      </c>
      <c r="S46" s="8"/>
      <c r="T46" s="7"/>
      <c r="U46" s="7"/>
      <c r="V46" s="7"/>
      <c r="W46" s="7" t="s">
        <v>33</v>
      </c>
      <c r="X46" s="7"/>
      <c r="Y46" s="193"/>
      <c r="Z46" s="193"/>
      <c r="AA46" s="193"/>
      <c r="AB46" s="193"/>
      <c r="AC46" s="193"/>
      <c r="AD46" s="193"/>
    </row>
    <row r="47" spans="17:30" ht="19.5" customHeight="1">
      <c r="Q47" s="12">
        <v>11</v>
      </c>
      <c r="R47" s="9">
        <v>44136</v>
      </c>
      <c r="S47" s="8"/>
      <c r="T47" s="7"/>
      <c r="U47" s="7"/>
      <c r="V47" s="7"/>
      <c r="W47" s="7" t="s">
        <v>33</v>
      </c>
      <c r="X47" s="7"/>
      <c r="Y47" s="193"/>
      <c r="Z47" s="193"/>
      <c r="AA47" s="193"/>
      <c r="AB47" s="193"/>
      <c r="AC47" s="193"/>
      <c r="AD47" s="193"/>
    </row>
    <row r="48" spans="17:30" ht="19.5" customHeight="1">
      <c r="Q48" s="26">
        <v>12</v>
      </c>
      <c r="R48" s="27">
        <v>44166</v>
      </c>
      <c r="S48" s="28"/>
      <c r="T48" s="29"/>
      <c r="U48" s="29"/>
      <c r="V48" s="29"/>
      <c r="W48" s="29" t="s">
        <v>33</v>
      </c>
      <c r="X48" s="29"/>
      <c r="Y48" s="193"/>
      <c r="Z48" s="193"/>
      <c r="AA48" s="193"/>
      <c r="AB48" s="193"/>
      <c r="AC48" s="193"/>
      <c r="AD48" s="193"/>
    </row>
    <row r="49" spans="17:76" ht="20.25" customHeight="1">
      <c r="Q49" s="217" t="s">
        <v>186</v>
      </c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27" t="s">
        <v>202</v>
      </c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17" t="s">
        <v>206</v>
      </c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</row>
    <row r="50" spans="17:110" ht="71.25" customHeight="1">
      <c r="Q50" s="11" t="s">
        <v>0</v>
      </c>
      <c r="R50" s="11" t="s">
        <v>1</v>
      </c>
      <c r="S50" s="11" t="s">
        <v>34</v>
      </c>
      <c r="T50" s="11" t="s">
        <v>2</v>
      </c>
      <c r="U50" s="11" t="s">
        <v>185</v>
      </c>
      <c r="V50" s="11" t="s">
        <v>3</v>
      </c>
      <c r="W50" s="33" t="s">
        <v>97</v>
      </c>
      <c r="X50" s="33" t="s">
        <v>122</v>
      </c>
      <c r="Y50" s="33" t="s">
        <v>123</v>
      </c>
      <c r="Z50" s="33" t="s">
        <v>98</v>
      </c>
      <c r="AA50" s="11" t="s">
        <v>45</v>
      </c>
      <c r="AB50" s="11" t="s">
        <v>25</v>
      </c>
      <c r="AC50" s="11" t="s">
        <v>24</v>
      </c>
      <c r="AD50" s="11" t="s">
        <v>26</v>
      </c>
      <c r="AE50" s="182" t="s">
        <v>163</v>
      </c>
      <c r="AF50" s="11" t="s">
        <v>164</v>
      </c>
      <c r="AG50" s="11" t="s">
        <v>180</v>
      </c>
      <c r="AH50" s="11" t="s">
        <v>189</v>
      </c>
      <c r="AI50" s="33" t="s">
        <v>77</v>
      </c>
      <c r="AJ50" s="11" t="s">
        <v>80</v>
      </c>
      <c r="AK50" s="11" t="s">
        <v>0</v>
      </c>
      <c r="AL50" s="11" t="s">
        <v>1</v>
      </c>
      <c r="AM50" s="11" t="s">
        <v>34</v>
      </c>
      <c r="AN50" s="11" t="s">
        <v>2</v>
      </c>
      <c r="AO50" s="11" t="s">
        <v>198</v>
      </c>
      <c r="AP50" s="11" t="s">
        <v>3</v>
      </c>
      <c r="AQ50" s="11" t="s">
        <v>97</v>
      </c>
      <c r="AR50" s="33" t="s">
        <v>122</v>
      </c>
      <c r="AS50" s="33" t="s">
        <v>123</v>
      </c>
      <c r="AT50" s="33" t="s">
        <v>98</v>
      </c>
      <c r="AU50" s="11" t="s">
        <v>45</v>
      </c>
      <c r="AV50" s="185" t="s">
        <v>200</v>
      </c>
      <c r="AW50" s="11" t="s">
        <v>24</v>
      </c>
      <c r="AX50" s="11" t="s">
        <v>26</v>
      </c>
      <c r="AY50" s="11" t="s">
        <v>163</v>
      </c>
      <c r="AZ50" s="11" t="s">
        <v>164</v>
      </c>
      <c r="BA50" s="11" t="s">
        <v>180</v>
      </c>
      <c r="BB50" s="11" t="s">
        <v>199</v>
      </c>
      <c r="BC50" s="33" t="s">
        <v>77</v>
      </c>
      <c r="BD50" s="11" t="s">
        <v>80</v>
      </c>
      <c r="BE50" s="11" t="s">
        <v>0</v>
      </c>
      <c r="BF50" s="11" t="s">
        <v>1</v>
      </c>
      <c r="BG50" s="11" t="s">
        <v>34</v>
      </c>
      <c r="BH50" s="11" t="s">
        <v>2</v>
      </c>
      <c r="BI50" s="11" t="s">
        <v>204</v>
      </c>
      <c r="BJ50" s="11" t="s">
        <v>3</v>
      </c>
      <c r="BK50" s="33" t="s">
        <v>97</v>
      </c>
      <c r="BL50" s="33" t="s">
        <v>122</v>
      </c>
      <c r="BM50" s="33" t="s">
        <v>123</v>
      </c>
      <c r="BN50" s="33" t="s">
        <v>98</v>
      </c>
      <c r="BO50" s="11" t="s">
        <v>45</v>
      </c>
      <c r="BP50" s="11" t="s">
        <v>200</v>
      </c>
      <c r="BQ50" s="11" t="s">
        <v>24</v>
      </c>
      <c r="BR50" s="11" t="s">
        <v>26</v>
      </c>
      <c r="BS50" s="11" t="s">
        <v>163</v>
      </c>
      <c r="BT50" s="11" t="s">
        <v>164</v>
      </c>
      <c r="BU50" s="11" t="s">
        <v>180</v>
      </c>
      <c r="BV50" s="11" t="s">
        <v>205</v>
      </c>
      <c r="BW50" s="33" t="s">
        <v>77</v>
      </c>
      <c r="BX50" s="11" t="s">
        <v>80</v>
      </c>
      <c r="DC50" s="6"/>
      <c r="DF50" s="99"/>
    </row>
    <row r="51" spans="17:110" ht="19.5" customHeight="1">
      <c r="Q51" s="12">
        <v>1</v>
      </c>
      <c r="R51" s="7" t="s">
        <v>50</v>
      </c>
      <c r="S51" s="7" t="s">
        <v>5</v>
      </c>
      <c r="T51" s="8">
        <v>43830</v>
      </c>
      <c r="U51" s="171"/>
      <c r="V51" s="7">
        <v>2219.96</v>
      </c>
      <c r="W51" s="7"/>
      <c r="X51" s="7"/>
      <c r="Y51" s="7"/>
      <c r="Z51" s="7"/>
      <c r="AA51" s="17">
        <v>2219.96</v>
      </c>
      <c r="AB51" s="18">
        <v>0</v>
      </c>
      <c r="AC51" s="19">
        <v>0</v>
      </c>
      <c r="AD51" s="15">
        <v>0</v>
      </c>
      <c r="AE51" s="11">
        <v>0</v>
      </c>
      <c r="AF51" s="7">
        <v>0</v>
      </c>
      <c r="AG51" s="13">
        <v>0</v>
      </c>
      <c r="AH51" s="125">
        <v>-1305.86806185565</v>
      </c>
      <c r="AI51" s="22">
        <v>1</v>
      </c>
      <c r="AJ51" s="7" t="s">
        <v>39</v>
      </c>
      <c r="AK51" s="196">
        <v>1</v>
      </c>
      <c r="AL51" s="197" t="s">
        <v>50</v>
      </c>
      <c r="AM51" s="7" t="s">
        <v>5</v>
      </c>
      <c r="AN51" s="8">
        <v>43861</v>
      </c>
      <c r="AO51" s="171"/>
      <c r="AP51" s="14">
        <v>2219.96</v>
      </c>
      <c r="AQ51" s="14"/>
      <c r="AR51" s="7"/>
      <c r="AS51" s="7"/>
      <c r="AT51" s="7"/>
      <c r="AU51" s="17">
        <f>AP51+AQ51+AR51+AS51</f>
        <v>2219.96</v>
      </c>
      <c r="AV51" s="200">
        <f>AU51-AA51</f>
        <v>0</v>
      </c>
      <c r="AW51" s="19">
        <f>$V$37/$U$37*AV51</f>
        <v>0</v>
      </c>
      <c r="AX51" s="15">
        <f>AV51+AW51</f>
        <v>0</v>
      </c>
      <c r="AY51" s="11">
        <f>AX51*2.9</f>
        <v>0</v>
      </c>
      <c r="AZ51" s="14">
        <f>$AD$9/$AA$9*AY51</f>
        <v>0</v>
      </c>
      <c r="BA51" s="13">
        <f>AY51+AZ51</f>
        <v>0</v>
      </c>
      <c r="BB51" s="125">
        <f>AH51-AO51+BA51</f>
        <v>-1305.86806185565</v>
      </c>
      <c r="BC51" s="22">
        <v>1</v>
      </c>
      <c r="BD51" s="7" t="s">
        <v>39</v>
      </c>
      <c r="BE51" s="214">
        <v>1</v>
      </c>
      <c r="BF51" s="7" t="s">
        <v>50</v>
      </c>
      <c r="BG51" s="7" t="s">
        <v>5</v>
      </c>
      <c r="BH51" s="8">
        <v>43890</v>
      </c>
      <c r="BI51" s="171"/>
      <c r="BJ51" s="7">
        <v>2219.9900000000002</v>
      </c>
      <c r="BK51" s="7"/>
      <c r="BL51" s="7"/>
      <c r="BM51" s="7"/>
      <c r="BN51" s="7"/>
      <c r="BO51" s="17">
        <v>2219.9900000000002</v>
      </c>
      <c r="BP51" s="18">
        <f>BO51-AU51</f>
        <v>0.03000000000020009</v>
      </c>
      <c r="BQ51" s="19">
        <f>$V$38/$U$38*BP51</f>
        <v>0.007550141359445022</v>
      </c>
      <c r="BR51" s="15">
        <f>BP51+BQ51</f>
        <v>0.037550141359645114</v>
      </c>
      <c r="BS51" s="11">
        <f>BR51*2.9</f>
        <v>0.10889540994297082</v>
      </c>
      <c r="BT51" s="7">
        <f>$AD$11/$AA$11*BS51</f>
        <v>-0.010719671307193927</v>
      </c>
      <c r="BU51" s="13">
        <f>BS51+BT51</f>
        <v>0.0981757386357769</v>
      </c>
      <c r="BV51" s="21">
        <f>BB51-BI51+BU51</f>
        <v>-1305.7698861170143</v>
      </c>
      <c r="BW51" s="22">
        <v>1</v>
      </c>
      <c r="BX51" s="7" t="s">
        <v>39</v>
      </c>
      <c r="DC51" s="6"/>
      <c r="DF51" s="99"/>
    </row>
    <row r="52" spans="17:110" ht="19.5" customHeight="1">
      <c r="Q52" s="12">
        <v>2</v>
      </c>
      <c r="R52" s="7" t="s">
        <v>51</v>
      </c>
      <c r="S52" s="7" t="s">
        <v>145</v>
      </c>
      <c r="T52" s="8">
        <v>43830</v>
      </c>
      <c r="U52" s="171">
        <v>2000</v>
      </c>
      <c r="V52" s="7">
        <v>2337.14</v>
      </c>
      <c r="W52" s="7"/>
      <c r="X52" s="7">
        <v>10906.67</v>
      </c>
      <c r="Y52" s="7"/>
      <c r="Z52" s="7">
        <v>6694.61</v>
      </c>
      <c r="AA52" s="17">
        <v>13243.81</v>
      </c>
      <c r="AB52" s="18">
        <v>433.02999999999884</v>
      </c>
      <c r="AC52" s="19">
        <v>51.96359999999989</v>
      </c>
      <c r="AD52" s="15">
        <v>484.9935999999987</v>
      </c>
      <c r="AE52" s="11">
        <v>1406.4814399999962</v>
      </c>
      <c r="AF52" s="7">
        <v>-143.0701825813321</v>
      </c>
      <c r="AG52" s="13">
        <v>1263.411257418664</v>
      </c>
      <c r="AH52" s="125">
        <v>221.1768095702107</v>
      </c>
      <c r="AI52" s="22">
        <v>2</v>
      </c>
      <c r="AJ52" s="7" t="s">
        <v>39</v>
      </c>
      <c r="AK52" s="196">
        <v>2</v>
      </c>
      <c r="AL52" s="197" t="s">
        <v>51</v>
      </c>
      <c r="AM52" s="7" t="s">
        <v>145</v>
      </c>
      <c r="AN52" s="8">
        <v>43861</v>
      </c>
      <c r="AO52" s="171"/>
      <c r="AP52" s="14">
        <v>2732.98</v>
      </c>
      <c r="AQ52" s="14"/>
      <c r="AR52" s="7">
        <v>10906.67</v>
      </c>
      <c r="AS52" s="7"/>
      <c r="AT52" s="7">
        <v>6694.61</v>
      </c>
      <c r="AU52" s="17">
        <f aca="true" t="shared" si="0" ref="AU52:AU80">AP52+AQ52+AR52+AS52</f>
        <v>13639.65</v>
      </c>
      <c r="AV52" s="200">
        <f aca="true" t="shared" si="1" ref="AV52:AV80">AU52-AA52</f>
        <v>395.84000000000015</v>
      </c>
      <c r="AW52" s="19">
        <f aca="true" t="shared" si="2" ref="AW52:AW80">$V$37/$U$37*AV52</f>
        <v>47.50080000000004</v>
      </c>
      <c r="AX52" s="15">
        <f aca="true" t="shared" si="3" ref="AX52:AX80">AV52+AW52</f>
        <v>443.3408000000002</v>
      </c>
      <c r="AY52" s="11">
        <f aca="true" t="shared" si="4" ref="AY52:AY80">AX52*2.9</f>
        <v>1285.6883200000004</v>
      </c>
      <c r="AZ52" s="14">
        <f aca="true" t="shared" si="5" ref="AZ52:AZ80">$AD$9/$AA$9*AY52</f>
        <v>-137.19890151186704</v>
      </c>
      <c r="BA52" s="13">
        <f aca="true" t="shared" si="6" ref="BA52:BA80">AY52+AZ52</f>
        <v>1148.4894184881334</v>
      </c>
      <c r="BB52" s="125">
        <f aca="true" t="shared" si="7" ref="BB52:BB80">AH52-AO52+BA52</f>
        <v>1369.6662280583441</v>
      </c>
      <c r="BC52" s="22">
        <v>2</v>
      </c>
      <c r="BD52" s="7" t="s">
        <v>39</v>
      </c>
      <c r="BE52" s="214">
        <v>2</v>
      </c>
      <c r="BF52" s="7" t="s">
        <v>51</v>
      </c>
      <c r="BG52" s="7" t="s">
        <v>145</v>
      </c>
      <c r="BH52" s="8">
        <v>43890</v>
      </c>
      <c r="BI52" s="171"/>
      <c r="BJ52" s="7">
        <v>3150.99</v>
      </c>
      <c r="BK52" s="7"/>
      <c r="BL52" s="7">
        <v>10906.67</v>
      </c>
      <c r="BM52" s="7"/>
      <c r="BN52" s="7">
        <v>6694.61</v>
      </c>
      <c r="BO52" s="17">
        <v>14057.66</v>
      </c>
      <c r="BP52" s="18">
        <f aca="true" t="shared" si="8" ref="BP52:BP80">BO52-AU52</f>
        <v>418.0100000000002</v>
      </c>
      <c r="BQ52" s="19">
        <f aca="true" t="shared" si="9" ref="BQ52:BQ80">$V$38/$U$38*BP52</f>
        <v>105.20115298801886</v>
      </c>
      <c r="BR52" s="15">
        <f aca="true" t="shared" si="10" ref="BR52:BR80">BP52+BQ52</f>
        <v>523.2111529880191</v>
      </c>
      <c r="BS52" s="11">
        <f aca="true" t="shared" si="11" ref="BS52:BS80">BR52*2.9</f>
        <v>1517.3123436652552</v>
      </c>
      <c r="BT52" s="7">
        <f aca="true" t="shared" si="12" ref="BT52:BT80">$AD$11/$AA$11*BS52</f>
        <v>-149.364326769675</v>
      </c>
      <c r="BU52" s="13">
        <f aca="true" t="shared" si="13" ref="BU52:BU80">BS52+BT52</f>
        <v>1367.9480168955802</v>
      </c>
      <c r="BV52" s="21">
        <f aca="true" t="shared" si="14" ref="BV52:BV80">BB52-BI52+BU52</f>
        <v>2737.6142449539243</v>
      </c>
      <c r="BW52" s="22">
        <v>2</v>
      </c>
      <c r="BX52" s="7" t="s">
        <v>39</v>
      </c>
      <c r="DC52" s="6"/>
      <c r="DF52" s="99"/>
    </row>
    <row r="53" spans="17:110" ht="19.5" customHeight="1">
      <c r="Q53" s="12">
        <v>3</v>
      </c>
      <c r="R53" s="7" t="s">
        <v>52</v>
      </c>
      <c r="S53" s="7" t="s">
        <v>22</v>
      </c>
      <c r="T53" s="8">
        <v>43830</v>
      </c>
      <c r="U53" s="171"/>
      <c r="V53" s="7">
        <v>18.17</v>
      </c>
      <c r="W53" s="7"/>
      <c r="X53" s="7"/>
      <c r="Y53" s="7"/>
      <c r="Z53" s="7"/>
      <c r="AA53" s="17">
        <v>18.17</v>
      </c>
      <c r="AB53" s="18">
        <v>0.010000000000001563</v>
      </c>
      <c r="AC53" s="19">
        <v>0.0012000000000001883</v>
      </c>
      <c r="AD53" s="15">
        <v>0.011200000000001752</v>
      </c>
      <c r="AE53" s="11">
        <v>0.03248000000000508</v>
      </c>
      <c r="AF53" s="7">
        <v>-0.0033039323506767397</v>
      </c>
      <c r="AG53" s="13">
        <v>0.02917606764932834</v>
      </c>
      <c r="AH53" s="125">
        <v>-17.06215296743186</v>
      </c>
      <c r="AI53" s="22">
        <v>1</v>
      </c>
      <c r="AJ53" s="7" t="s">
        <v>39</v>
      </c>
      <c r="AK53" s="196">
        <v>3</v>
      </c>
      <c r="AL53" s="197" t="s">
        <v>52</v>
      </c>
      <c r="AM53" s="7" t="s">
        <v>22</v>
      </c>
      <c r="AN53" s="8">
        <v>43861</v>
      </c>
      <c r="AO53" s="171"/>
      <c r="AP53" s="14">
        <v>18.19</v>
      </c>
      <c r="AQ53" s="14"/>
      <c r="AR53" s="7"/>
      <c r="AS53" s="7"/>
      <c r="AT53" s="7"/>
      <c r="AU53" s="17">
        <f t="shared" si="0"/>
        <v>18.19</v>
      </c>
      <c r="AV53" s="200">
        <f t="shared" si="1"/>
        <v>0.019999999999999574</v>
      </c>
      <c r="AW53" s="19">
        <f t="shared" si="2"/>
        <v>0.00239999999999995</v>
      </c>
      <c r="AX53" s="15">
        <f t="shared" si="3"/>
        <v>0.022399999999999524</v>
      </c>
      <c r="AY53" s="11">
        <f t="shared" si="4"/>
        <v>0.06495999999999862</v>
      </c>
      <c r="AZ53" s="14">
        <f t="shared" si="5"/>
        <v>-0.00693203827363905</v>
      </c>
      <c r="BA53" s="13">
        <f t="shared" si="6"/>
        <v>0.058027961726359566</v>
      </c>
      <c r="BB53" s="125">
        <f t="shared" si="7"/>
        <v>-17.0041250057055</v>
      </c>
      <c r="BC53" s="22">
        <v>1</v>
      </c>
      <c r="BD53" s="7" t="s">
        <v>39</v>
      </c>
      <c r="BE53" s="214">
        <v>3</v>
      </c>
      <c r="BF53" s="7" t="s">
        <v>52</v>
      </c>
      <c r="BG53" s="7" t="s">
        <v>22</v>
      </c>
      <c r="BH53" s="8">
        <v>43890</v>
      </c>
      <c r="BI53" s="171"/>
      <c r="BJ53" s="7">
        <v>18.2</v>
      </c>
      <c r="BK53" s="7"/>
      <c r="BL53" s="7"/>
      <c r="BM53" s="7"/>
      <c r="BN53" s="7"/>
      <c r="BO53" s="17">
        <v>18.2</v>
      </c>
      <c r="BP53" s="18">
        <f t="shared" si="8"/>
        <v>0.00999999999999801</v>
      </c>
      <c r="BQ53" s="19">
        <f t="shared" si="9"/>
        <v>0.002516713786464388</v>
      </c>
      <c r="BR53" s="15">
        <f t="shared" si="10"/>
        <v>0.012516713786462397</v>
      </c>
      <c r="BS53" s="11">
        <f t="shared" si="11"/>
        <v>0.036298469980740954</v>
      </c>
      <c r="BT53" s="7">
        <f t="shared" si="12"/>
        <v>-0.0035732237690400993</v>
      </c>
      <c r="BU53" s="13">
        <f t="shared" si="13"/>
        <v>0.03272524621170085</v>
      </c>
      <c r="BV53" s="21">
        <f t="shared" si="14"/>
        <v>-16.9713997594938</v>
      </c>
      <c r="BW53" s="22">
        <v>1</v>
      </c>
      <c r="BX53" s="7" t="s">
        <v>39</v>
      </c>
      <c r="DC53" s="6"/>
      <c r="DF53" s="99"/>
    </row>
    <row r="54" spans="17:110" ht="19.5" customHeight="1">
      <c r="Q54" s="12">
        <v>4</v>
      </c>
      <c r="R54" s="7" t="s">
        <v>53</v>
      </c>
      <c r="S54" s="7" t="s">
        <v>7</v>
      </c>
      <c r="T54" s="8">
        <v>43830</v>
      </c>
      <c r="U54" s="171">
        <v>600</v>
      </c>
      <c r="V54" s="7">
        <v>1164.19</v>
      </c>
      <c r="W54" s="7"/>
      <c r="X54" s="7"/>
      <c r="Y54" s="7"/>
      <c r="Z54" s="7"/>
      <c r="AA54" s="17">
        <v>1164.19</v>
      </c>
      <c r="AB54" s="18">
        <v>4.650000000000091</v>
      </c>
      <c r="AC54" s="19">
        <v>0.5580000000000113</v>
      </c>
      <c r="AD54" s="15">
        <v>5.208000000000102</v>
      </c>
      <c r="AE54" s="11">
        <v>15.103200000000296</v>
      </c>
      <c r="AF54" s="7">
        <v>-1.5363285430644738</v>
      </c>
      <c r="AG54" s="13">
        <v>13.566871456935822</v>
      </c>
      <c r="AH54" s="125">
        <v>-116.59379155157364</v>
      </c>
      <c r="AI54" s="22">
        <v>1</v>
      </c>
      <c r="AJ54" s="7" t="s">
        <v>39</v>
      </c>
      <c r="AK54" s="196">
        <v>4</v>
      </c>
      <c r="AL54" s="197" t="s">
        <v>53</v>
      </c>
      <c r="AM54" s="7" t="s">
        <v>7</v>
      </c>
      <c r="AN54" s="8">
        <v>43861</v>
      </c>
      <c r="AO54" s="171"/>
      <c r="AP54" s="14">
        <v>1169.54</v>
      </c>
      <c r="AQ54" s="14"/>
      <c r="AR54" s="7"/>
      <c r="AS54" s="7"/>
      <c r="AT54" s="7"/>
      <c r="AU54" s="17">
        <f t="shared" si="0"/>
        <v>1169.54</v>
      </c>
      <c r="AV54" s="200">
        <f t="shared" si="1"/>
        <v>5.349999999999909</v>
      </c>
      <c r="AW54" s="19">
        <f t="shared" si="2"/>
        <v>0.6419999999999894</v>
      </c>
      <c r="AX54" s="15">
        <f t="shared" si="3"/>
        <v>5.991999999999899</v>
      </c>
      <c r="AY54" s="11">
        <f t="shared" si="4"/>
        <v>17.376799999999704</v>
      </c>
      <c r="AZ54" s="14">
        <f t="shared" si="5"/>
        <v>-1.8543202381984538</v>
      </c>
      <c r="BA54" s="13">
        <f t="shared" si="6"/>
        <v>15.52247976180125</v>
      </c>
      <c r="BB54" s="125">
        <f t="shared" si="7"/>
        <v>-101.0713117897724</v>
      </c>
      <c r="BC54" s="22">
        <v>1</v>
      </c>
      <c r="BD54" s="7" t="s">
        <v>39</v>
      </c>
      <c r="BE54" s="214">
        <v>4</v>
      </c>
      <c r="BF54" s="7" t="s">
        <v>53</v>
      </c>
      <c r="BG54" s="7" t="s">
        <v>7</v>
      </c>
      <c r="BH54" s="8">
        <v>43890</v>
      </c>
      <c r="BI54" s="171"/>
      <c r="BJ54" s="7">
        <v>1174.13</v>
      </c>
      <c r="BK54" s="7"/>
      <c r="BL54" s="7"/>
      <c r="BM54" s="7"/>
      <c r="BN54" s="7"/>
      <c r="BO54" s="17">
        <v>1174.13</v>
      </c>
      <c r="BP54" s="18">
        <f t="shared" si="8"/>
        <v>4.5900000000001455</v>
      </c>
      <c r="BQ54" s="19">
        <f t="shared" si="9"/>
        <v>1.1551716279874205</v>
      </c>
      <c r="BR54" s="15">
        <f t="shared" si="10"/>
        <v>5.745171627987566</v>
      </c>
      <c r="BS54" s="11">
        <f t="shared" si="11"/>
        <v>16.66099772116394</v>
      </c>
      <c r="BT54" s="7">
        <f t="shared" si="12"/>
        <v>-1.640109709989784</v>
      </c>
      <c r="BU54" s="13">
        <f t="shared" si="13"/>
        <v>15.020888011174158</v>
      </c>
      <c r="BV54" s="21">
        <f t="shared" si="14"/>
        <v>-86.05042377859823</v>
      </c>
      <c r="BW54" s="22">
        <v>1</v>
      </c>
      <c r="BX54" s="7" t="s">
        <v>39</v>
      </c>
      <c r="DC54" s="6"/>
      <c r="DF54" s="99"/>
    </row>
    <row r="55" spans="17:110" ht="19.5" customHeight="1">
      <c r="Q55" s="12">
        <v>5</v>
      </c>
      <c r="R55" s="7" t="s">
        <v>83</v>
      </c>
      <c r="S55" s="7" t="s">
        <v>84</v>
      </c>
      <c r="T55" s="8">
        <v>43830</v>
      </c>
      <c r="U55" s="171">
        <v>3500</v>
      </c>
      <c r="V55" s="7">
        <v>8163.68</v>
      </c>
      <c r="W55" s="7"/>
      <c r="X55" s="7"/>
      <c r="Y55" s="7"/>
      <c r="Z55" s="7">
        <v>9664.83</v>
      </c>
      <c r="AA55" s="17">
        <v>8163.68</v>
      </c>
      <c r="AB55" s="18">
        <v>592.6100000000006</v>
      </c>
      <c r="AC55" s="19">
        <v>71.11320000000012</v>
      </c>
      <c r="AD55" s="15">
        <v>663.7232000000007</v>
      </c>
      <c r="AE55" s="11">
        <v>1924.797280000002</v>
      </c>
      <c r="AF55" s="7">
        <v>-195.79433503342386</v>
      </c>
      <c r="AG55" s="13">
        <v>1729.002944966578</v>
      </c>
      <c r="AH55" s="125">
        <v>-2325.9709225298493</v>
      </c>
      <c r="AI55" s="22">
        <v>2</v>
      </c>
      <c r="AJ55" s="7" t="s">
        <v>39</v>
      </c>
      <c r="AK55" s="196">
        <v>5</v>
      </c>
      <c r="AL55" s="197" t="s">
        <v>83</v>
      </c>
      <c r="AM55" s="7" t="s">
        <v>84</v>
      </c>
      <c r="AN55" s="8">
        <v>43861</v>
      </c>
      <c r="AO55" s="171">
        <v>-325.97</v>
      </c>
      <c r="AP55" s="14">
        <v>8782.880000000001</v>
      </c>
      <c r="AQ55" s="14"/>
      <c r="AR55" s="7"/>
      <c r="AS55" s="7"/>
      <c r="AT55" s="7">
        <v>9664.83</v>
      </c>
      <c r="AU55" s="17">
        <f t="shared" si="0"/>
        <v>8782.880000000001</v>
      </c>
      <c r="AV55" s="200">
        <f t="shared" si="1"/>
        <v>619.2000000000007</v>
      </c>
      <c r="AW55" s="19">
        <f t="shared" si="2"/>
        <v>74.30400000000012</v>
      </c>
      <c r="AX55" s="15">
        <f t="shared" si="3"/>
        <v>693.5040000000008</v>
      </c>
      <c r="AY55" s="11">
        <f t="shared" si="4"/>
        <v>2011.1616000000024</v>
      </c>
      <c r="AZ55" s="14">
        <f t="shared" si="5"/>
        <v>-214.61590495186982</v>
      </c>
      <c r="BA55" s="13">
        <f t="shared" si="6"/>
        <v>1796.5456950481325</v>
      </c>
      <c r="BB55" s="125">
        <f t="shared" si="7"/>
        <v>-203.45522748171675</v>
      </c>
      <c r="BC55" s="22">
        <v>2</v>
      </c>
      <c r="BD55" s="7" t="s">
        <v>39</v>
      </c>
      <c r="BE55" s="214">
        <v>5</v>
      </c>
      <c r="BF55" s="7" t="s">
        <v>83</v>
      </c>
      <c r="BG55" s="7" t="s">
        <v>84</v>
      </c>
      <c r="BH55" s="8">
        <v>43890</v>
      </c>
      <c r="BI55" s="171"/>
      <c r="BJ55" s="7">
        <v>9385.710000000001</v>
      </c>
      <c r="BK55" s="7"/>
      <c r="BL55" s="7"/>
      <c r="BM55" s="7"/>
      <c r="BN55" s="7">
        <v>9664.83</v>
      </c>
      <c r="BO55" s="17">
        <v>9385.710000000001</v>
      </c>
      <c r="BP55" s="18">
        <f t="shared" si="8"/>
        <v>602.8299999999999</v>
      </c>
      <c r="BQ55" s="19">
        <f t="shared" si="9"/>
        <v>151.71505718946287</v>
      </c>
      <c r="BR55" s="15">
        <f t="shared" si="10"/>
        <v>754.5450571894628</v>
      </c>
      <c r="BS55" s="11">
        <f t="shared" si="11"/>
        <v>2188.180665849442</v>
      </c>
      <c r="BT55" s="7">
        <f t="shared" si="12"/>
        <v>-215.40464846908714</v>
      </c>
      <c r="BU55" s="13">
        <f t="shared" si="13"/>
        <v>1972.776017380355</v>
      </c>
      <c r="BV55" s="21">
        <f t="shared" si="14"/>
        <v>1769.3207898986382</v>
      </c>
      <c r="BW55" s="22">
        <v>2</v>
      </c>
      <c r="BX55" s="7" t="s">
        <v>39</v>
      </c>
      <c r="DC55" s="6"/>
      <c r="DF55" s="99"/>
    </row>
    <row r="56" spans="17:110" ht="19.5" customHeight="1">
      <c r="Q56" s="12">
        <v>6</v>
      </c>
      <c r="R56" s="7" t="s">
        <v>54</v>
      </c>
      <c r="S56" s="7" t="s">
        <v>47</v>
      </c>
      <c r="T56" s="8">
        <v>43830</v>
      </c>
      <c r="U56" s="171">
        <v>2258</v>
      </c>
      <c r="V56" s="7">
        <v>18274.96</v>
      </c>
      <c r="W56" s="7"/>
      <c r="X56" s="7"/>
      <c r="Y56" s="7"/>
      <c r="Z56" s="7">
        <v>8268.33</v>
      </c>
      <c r="AA56" s="17">
        <v>18274.96</v>
      </c>
      <c r="AB56" s="18">
        <v>480.52000000000044</v>
      </c>
      <c r="AC56" s="19">
        <v>57.66240000000009</v>
      </c>
      <c r="AD56" s="15">
        <v>538.1824000000005</v>
      </c>
      <c r="AE56" s="11">
        <v>1560.7289600000013</v>
      </c>
      <c r="AF56" s="7">
        <v>-158.76055731469398</v>
      </c>
      <c r="AG56" s="13">
        <v>1401.9684026853074</v>
      </c>
      <c r="AH56" s="125">
        <v>1401.7276053982969</v>
      </c>
      <c r="AI56" s="22">
        <v>2</v>
      </c>
      <c r="AJ56" s="7" t="s">
        <v>39</v>
      </c>
      <c r="AK56" s="196">
        <v>6</v>
      </c>
      <c r="AL56" s="197" t="s">
        <v>54</v>
      </c>
      <c r="AM56" s="7" t="s">
        <v>47</v>
      </c>
      <c r="AN56" s="8">
        <v>43861</v>
      </c>
      <c r="AO56" s="171"/>
      <c r="AP56" s="14">
        <v>18776.97</v>
      </c>
      <c r="AQ56" s="14"/>
      <c r="AR56" s="7"/>
      <c r="AS56" s="7"/>
      <c r="AT56" s="7">
        <v>8268.33</v>
      </c>
      <c r="AU56" s="17">
        <f t="shared" si="0"/>
        <v>18776.97</v>
      </c>
      <c r="AV56" s="200">
        <f t="shared" si="1"/>
        <v>502.01000000000204</v>
      </c>
      <c r="AW56" s="19">
        <f t="shared" si="2"/>
        <v>60.24120000000027</v>
      </c>
      <c r="AX56" s="15">
        <f t="shared" si="3"/>
        <v>562.2512000000023</v>
      </c>
      <c r="AY56" s="11">
        <f t="shared" si="4"/>
        <v>1630.5284800000068</v>
      </c>
      <c r="AZ56" s="14">
        <f t="shared" si="5"/>
        <v>-173.99762668748141</v>
      </c>
      <c r="BA56" s="13">
        <f t="shared" si="6"/>
        <v>1456.5308533125253</v>
      </c>
      <c r="BB56" s="125">
        <f t="shared" si="7"/>
        <v>2858.258458710822</v>
      </c>
      <c r="BC56" s="22">
        <v>2</v>
      </c>
      <c r="BD56" s="7" t="s">
        <v>39</v>
      </c>
      <c r="BE56" s="214">
        <v>6</v>
      </c>
      <c r="BF56" s="7" t="s">
        <v>54</v>
      </c>
      <c r="BG56" s="7" t="s">
        <v>47</v>
      </c>
      <c r="BH56" s="8">
        <v>43890</v>
      </c>
      <c r="BI56" s="171">
        <v>2860</v>
      </c>
      <c r="BJ56" s="7">
        <v>19176.760000000002</v>
      </c>
      <c r="BK56" s="7"/>
      <c r="BL56" s="7"/>
      <c r="BM56" s="7"/>
      <c r="BN56" s="7">
        <v>8268.33</v>
      </c>
      <c r="BO56" s="17">
        <v>19176.760000000002</v>
      </c>
      <c r="BP56" s="18">
        <f t="shared" si="8"/>
        <v>399.7900000000009</v>
      </c>
      <c r="BQ56" s="19">
        <f t="shared" si="9"/>
        <v>100.61570046908</v>
      </c>
      <c r="BR56" s="15">
        <f t="shared" si="10"/>
        <v>500.4057004690809</v>
      </c>
      <c r="BS56" s="11">
        <f t="shared" si="11"/>
        <v>1451.1765313603346</v>
      </c>
      <c r="BT56" s="7">
        <f t="shared" si="12"/>
        <v>-142.85391306248286</v>
      </c>
      <c r="BU56" s="13">
        <f t="shared" si="13"/>
        <v>1308.3226182978517</v>
      </c>
      <c r="BV56" s="21">
        <f t="shared" si="14"/>
        <v>1306.581077008674</v>
      </c>
      <c r="BW56" s="22">
        <v>2</v>
      </c>
      <c r="BX56" s="7" t="s">
        <v>39</v>
      </c>
      <c r="DC56" s="6"/>
      <c r="DF56" s="99"/>
    </row>
    <row r="57" spans="17:110" ht="19.5" customHeight="1">
      <c r="Q57" s="12">
        <v>7</v>
      </c>
      <c r="R57" s="7" t="s">
        <v>55</v>
      </c>
      <c r="S57" s="7" t="s">
        <v>79</v>
      </c>
      <c r="T57" s="8">
        <v>43830</v>
      </c>
      <c r="U57" s="171"/>
      <c r="V57" s="7">
        <v>3526.94</v>
      </c>
      <c r="W57" s="7"/>
      <c r="X57" s="7"/>
      <c r="Y57" s="7"/>
      <c r="Z57" s="7">
        <v>-1433.3799999999999</v>
      </c>
      <c r="AA57" s="17">
        <v>3526.94</v>
      </c>
      <c r="AB57" s="18">
        <v>0</v>
      </c>
      <c r="AC57" s="19">
        <v>0</v>
      </c>
      <c r="AD57" s="15">
        <v>0</v>
      </c>
      <c r="AE57" s="11">
        <v>0</v>
      </c>
      <c r="AF57" s="7">
        <v>0</v>
      </c>
      <c r="AG57" s="13">
        <v>0</v>
      </c>
      <c r="AH57" s="125">
        <v>-289.173760573594</v>
      </c>
      <c r="AI57" s="22">
        <v>2</v>
      </c>
      <c r="AJ57" s="7" t="s">
        <v>39</v>
      </c>
      <c r="AK57" s="196">
        <v>7</v>
      </c>
      <c r="AL57" s="197" t="s">
        <v>55</v>
      </c>
      <c r="AM57" s="7" t="s">
        <v>79</v>
      </c>
      <c r="AN57" s="8">
        <v>43861</v>
      </c>
      <c r="AO57" s="171"/>
      <c r="AP57" s="14">
        <v>3526.94</v>
      </c>
      <c r="AQ57" s="14"/>
      <c r="AR57" s="7"/>
      <c r="AS57" s="7"/>
      <c r="AT57" s="7">
        <v>-1433.3799999999999</v>
      </c>
      <c r="AU57" s="17">
        <f t="shared" si="0"/>
        <v>3526.94</v>
      </c>
      <c r="AV57" s="200">
        <f t="shared" si="1"/>
        <v>0</v>
      </c>
      <c r="AW57" s="19">
        <f t="shared" si="2"/>
        <v>0</v>
      </c>
      <c r="AX57" s="15">
        <f t="shared" si="3"/>
        <v>0</v>
      </c>
      <c r="AY57" s="11">
        <f t="shared" si="4"/>
        <v>0</v>
      </c>
      <c r="AZ57" s="14">
        <f t="shared" si="5"/>
        <v>0</v>
      </c>
      <c r="BA57" s="13">
        <f t="shared" si="6"/>
        <v>0</v>
      </c>
      <c r="BB57" s="125">
        <f t="shared" si="7"/>
        <v>-289.173760573594</v>
      </c>
      <c r="BC57" s="22">
        <v>2</v>
      </c>
      <c r="BD57" s="7" t="s">
        <v>39</v>
      </c>
      <c r="BE57" s="214">
        <v>7</v>
      </c>
      <c r="BF57" s="7" t="s">
        <v>55</v>
      </c>
      <c r="BG57" s="7" t="s">
        <v>79</v>
      </c>
      <c r="BH57" s="8">
        <v>43890</v>
      </c>
      <c r="BI57" s="171"/>
      <c r="BJ57" s="7">
        <v>3526.94</v>
      </c>
      <c r="BK57" s="7"/>
      <c r="BL57" s="7"/>
      <c r="BM57" s="7"/>
      <c r="BN57" s="7">
        <v>-1433.3799999999999</v>
      </c>
      <c r="BO57" s="17">
        <v>3526.94</v>
      </c>
      <c r="BP57" s="18">
        <f t="shared" si="8"/>
        <v>0</v>
      </c>
      <c r="BQ57" s="19">
        <f t="shared" si="9"/>
        <v>0</v>
      </c>
      <c r="BR57" s="15">
        <f t="shared" si="10"/>
        <v>0</v>
      </c>
      <c r="BS57" s="11">
        <f t="shared" si="11"/>
        <v>0</v>
      </c>
      <c r="BT57" s="7">
        <f t="shared" si="12"/>
        <v>0</v>
      </c>
      <c r="BU57" s="13">
        <f t="shared" si="13"/>
        <v>0</v>
      </c>
      <c r="BV57" s="21">
        <f t="shared" si="14"/>
        <v>-289.173760573594</v>
      </c>
      <c r="BW57" s="22">
        <v>2</v>
      </c>
      <c r="BX57" s="7" t="s">
        <v>39</v>
      </c>
      <c r="DC57" s="6"/>
      <c r="DF57" s="99"/>
    </row>
    <row r="58" spans="17:110" ht="19.5" customHeight="1">
      <c r="Q58" s="12">
        <v>8</v>
      </c>
      <c r="R58" s="7" t="s">
        <v>56</v>
      </c>
      <c r="S58" s="7" t="s">
        <v>14</v>
      </c>
      <c r="T58" s="8">
        <v>43830</v>
      </c>
      <c r="U58" s="171"/>
      <c r="V58" s="7">
        <v>3284.8</v>
      </c>
      <c r="W58" s="7"/>
      <c r="X58" s="7"/>
      <c r="Y58" s="7"/>
      <c r="Z58" s="7"/>
      <c r="AA58" s="17">
        <v>3284.8</v>
      </c>
      <c r="AB58" s="18">
        <v>19.26000000000022</v>
      </c>
      <c r="AC58" s="19">
        <v>2.311200000000028</v>
      </c>
      <c r="AD58" s="15">
        <v>21.571200000000246</v>
      </c>
      <c r="AE58" s="11">
        <v>62.55648000000071</v>
      </c>
      <c r="AF58" s="7">
        <v>-6.363373707402477</v>
      </c>
      <c r="AG58" s="13">
        <v>56.19310629259823</v>
      </c>
      <c r="AH58" s="125">
        <v>-84.14673877876075</v>
      </c>
      <c r="AI58" s="22">
        <v>1</v>
      </c>
      <c r="AJ58" s="7" t="s">
        <v>39</v>
      </c>
      <c r="AK58" s="196">
        <v>8</v>
      </c>
      <c r="AL58" s="197" t="s">
        <v>56</v>
      </c>
      <c r="AM58" s="7" t="s">
        <v>14</v>
      </c>
      <c r="AN58" s="8">
        <v>43861</v>
      </c>
      <c r="AO58" s="171"/>
      <c r="AP58" s="14">
        <v>3310.9500000000003</v>
      </c>
      <c r="AQ58" s="14"/>
      <c r="AR58" s="7"/>
      <c r="AS58" s="7"/>
      <c r="AT58" s="7"/>
      <c r="AU58" s="17">
        <f t="shared" si="0"/>
        <v>3310.9500000000003</v>
      </c>
      <c r="AV58" s="200">
        <f t="shared" si="1"/>
        <v>26.15000000000009</v>
      </c>
      <c r="AW58" s="19">
        <f t="shared" si="2"/>
        <v>3.1380000000000123</v>
      </c>
      <c r="AX58" s="15">
        <f t="shared" si="3"/>
        <v>29.288000000000103</v>
      </c>
      <c r="AY58" s="11">
        <f t="shared" si="4"/>
        <v>84.9352000000003</v>
      </c>
      <c r="AZ58" s="14">
        <f t="shared" si="5"/>
        <v>-9.063640042783282</v>
      </c>
      <c r="BA58" s="13">
        <f t="shared" si="6"/>
        <v>75.87155995721702</v>
      </c>
      <c r="BB58" s="125">
        <f t="shared" si="7"/>
        <v>-8.275178821543733</v>
      </c>
      <c r="BC58" s="22">
        <v>1</v>
      </c>
      <c r="BD58" s="7" t="s">
        <v>39</v>
      </c>
      <c r="BE58" s="214">
        <v>8</v>
      </c>
      <c r="BF58" s="7" t="s">
        <v>56</v>
      </c>
      <c r="BG58" s="7" t="s">
        <v>14</v>
      </c>
      <c r="BH58" s="8">
        <v>43890</v>
      </c>
      <c r="BI58" s="171"/>
      <c r="BJ58" s="7">
        <v>3311.88</v>
      </c>
      <c r="BK58" s="7"/>
      <c r="BL58" s="7"/>
      <c r="BM58" s="7"/>
      <c r="BN58" s="7"/>
      <c r="BO58" s="17">
        <v>3311.88</v>
      </c>
      <c r="BP58" s="18">
        <f t="shared" si="8"/>
        <v>0.9299999999998363</v>
      </c>
      <c r="BQ58" s="19">
        <f t="shared" si="9"/>
        <v>0.23405438214119345</v>
      </c>
      <c r="BR58" s="15">
        <f t="shared" si="10"/>
        <v>1.1640543821410296</v>
      </c>
      <c r="BS58" s="11">
        <f t="shared" si="11"/>
        <v>3.375757708208986</v>
      </c>
      <c r="BT58" s="7">
        <f t="shared" si="12"/>
        <v>-0.3323098105207368</v>
      </c>
      <c r="BU58" s="13">
        <f t="shared" si="13"/>
        <v>3.043447897688249</v>
      </c>
      <c r="BV58" s="21">
        <f t="shared" si="14"/>
        <v>-5.231730923855483</v>
      </c>
      <c r="BW58" s="22">
        <v>1</v>
      </c>
      <c r="BX58" s="7" t="s">
        <v>39</v>
      </c>
      <c r="DC58" s="6"/>
      <c r="DF58" s="99"/>
    </row>
    <row r="59" spans="17:110" ht="19.5" customHeight="1">
      <c r="Q59" s="12">
        <v>9</v>
      </c>
      <c r="R59" s="7" t="s">
        <v>57</v>
      </c>
      <c r="S59" s="7" t="s">
        <v>6</v>
      </c>
      <c r="T59" s="8">
        <v>43830</v>
      </c>
      <c r="U59" s="171">
        <v>500</v>
      </c>
      <c r="V59" s="7">
        <v>3366.71</v>
      </c>
      <c r="W59" s="7"/>
      <c r="X59" s="7"/>
      <c r="Y59" s="7"/>
      <c r="Z59" s="7"/>
      <c r="AA59" s="17">
        <v>3366.71</v>
      </c>
      <c r="AB59" s="18">
        <v>13.400000000000091</v>
      </c>
      <c r="AC59" s="19">
        <v>1.6080000000000119</v>
      </c>
      <c r="AD59" s="15">
        <v>15.008000000000102</v>
      </c>
      <c r="AE59" s="11">
        <v>43.523200000000294</v>
      </c>
      <c r="AF59" s="7">
        <v>-4.427269349906169</v>
      </c>
      <c r="AG59" s="13">
        <v>39.095930650094125</v>
      </c>
      <c r="AH59" s="125">
        <v>-42.68923787708879</v>
      </c>
      <c r="AI59" s="22">
        <v>1</v>
      </c>
      <c r="AJ59" s="7" t="s">
        <v>39</v>
      </c>
      <c r="AK59" s="196">
        <v>9</v>
      </c>
      <c r="AL59" s="197" t="s">
        <v>57</v>
      </c>
      <c r="AM59" s="7" t="s">
        <v>6</v>
      </c>
      <c r="AN59" s="8">
        <v>43861</v>
      </c>
      <c r="AO59" s="171"/>
      <c r="AP59" s="14">
        <v>3370.1</v>
      </c>
      <c r="AQ59" s="14"/>
      <c r="AR59" s="7"/>
      <c r="AS59" s="7"/>
      <c r="AT59" s="7"/>
      <c r="AU59" s="17">
        <f t="shared" si="0"/>
        <v>3370.1</v>
      </c>
      <c r="AV59" s="200">
        <f t="shared" si="1"/>
        <v>3.3899999999998727</v>
      </c>
      <c r="AW59" s="19">
        <f t="shared" si="2"/>
        <v>0.4067999999999849</v>
      </c>
      <c r="AX59" s="15">
        <f t="shared" si="3"/>
        <v>3.7967999999998576</v>
      </c>
      <c r="AY59" s="11">
        <f t="shared" si="4"/>
        <v>11.010719999999587</v>
      </c>
      <c r="AZ59" s="14">
        <f t="shared" si="5"/>
        <v>-1.1749804873818</v>
      </c>
      <c r="BA59" s="13">
        <f t="shared" si="6"/>
        <v>9.835739512617787</v>
      </c>
      <c r="BB59" s="125">
        <f t="shared" si="7"/>
        <v>-32.85349836447101</v>
      </c>
      <c r="BC59" s="22">
        <v>1</v>
      </c>
      <c r="BD59" s="7" t="s">
        <v>39</v>
      </c>
      <c r="BE59" s="214">
        <v>9</v>
      </c>
      <c r="BF59" s="7" t="s">
        <v>57</v>
      </c>
      <c r="BG59" s="7" t="s">
        <v>6</v>
      </c>
      <c r="BH59" s="8">
        <v>43890</v>
      </c>
      <c r="BI59" s="171"/>
      <c r="BJ59" s="7">
        <v>3390.1</v>
      </c>
      <c r="BK59" s="7"/>
      <c r="BL59" s="7"/>
      <c r="BM59" s="7"/>
      <c r="BN59" s="7"/>
      <c r="BO59" s="17">
        <v>3390.1</v>
      </c>
      <c r="BP59" s="18">
        <f t="shared" si="8"/>
        <v>20</v>
      </c>
      <c r="BQ59" s="19">
        <f t="shared" si="9"/>
        <v>5.033427572929777</v>
      </c>
      <c r="BR59" s="15">
        <f t="shared" si="10"/>
        <v>25.033427572929778</v>
      </c>
      <c r="BS59" s="11">
        <f t="shared" si="11"/>
        <v>72.59693996149636</v>
      </c>
      <c r="BT59" s="7">
        <f t="shared" si="12"/>
        <v>-7.146447538081621</v>
      </c>
      <c r="BU59" s="13">
        <f t="shared" si="13"/>
        <v>65.45049242341474</v>
      </c>
      <c r="BV59" s="21">
        <f t="shared" si="14"/>
        <v>32.596994058943736</v>
      </c>
      <c r="BW59" s="22">
        <v>1</v>
      </c>
      <c r="BX59" s="7" t="s">
        <v>39</v>
      </c>
      <c r="DC59" s="6"/>
      <c r="DF59" s="99"/>
    </row>
    <row r="60" spans="17:110" ht="19.5" customHeight="1">
      <c r="Q60" s="12">
        <v>10</v>
      </c>
      <c r="R60" s="7" t="s">
        <v>85</v>
      </c>
      <c r="S60" s="7" t="s">
        <v>86</v>
      </c>
      <c r="T60" s="8">
        <v>43830</v>
      </c>
      <c r="U60" s="171">
        <v>500</v>
      </c>
      <c r="V60" s="7">
        <v>1427.14</v>
      </c>
      <c r="W60" s="7"/>
      <c r="X60" s="7"/>
      <c r="Y60" s="7"/>
      <c r="Z60" s="7">
        <v>301.4</v>
      </c>
      <c r="AA60" s="17">
        <v>1427.14</v>
      </c>
      <c r="AB60" s="18">
        <v>0</v>
      </c>
      <c r="AC60" s="19">
        <v>0</v>
      </c>
      <c r="AD60" s="15">
        <v>0</v>
      </c>
      <c r="AE60" s="11">
        <v>0</v>
      </c>
      <c r="AF60" s="7">
        <v>0</v>
      </c>
      <c r="AG60" s="13">
        <v>0</v>
      </c>
      <c r="AH60" s="125">
        <v>-114.95431345041288</v>
      </c>
      <c r="AI60" s="22">
        <v>2</v>
      </c>
      <c r="AJ60" s="7" t="s">
        <v>39</v>
      </c>
      <c r="AK60" s="196">
        <v>10</v>
      </c>
      <c r="AL60" s="197" t="s">
        <v>85</v>
      </c>
      <c r="AM60" s="7" t="s">
        <v>86</v>
      </c>
      <c r="AN60" s="8">
        <v>43861</v>
      </c>
      <c r="AO60" s="171"/>
      <c r="AP60" s="14">
        <v>1427.14</v>
      </c>
      <c r="AQ60" s="14"/>
      <c r="AR60" s="7"/>
      <c r="AS60" s="7"/>
      <c r="AT60" s="7">
        <v>301.4</v>
      </c>
      <c r="AU60" s="17">
        <f t="shared" si="0"/>
        <v>1427.14</v>
      </c>
      <c r="AV60" s="200">
        <f t="shared" si="1"/>
        <v>0</v>
      </c>
      <c r="AW60" s="19">
        <f t="shared" si="2"/>
        <v>0</v>
      </c>
      <c r="AX60" s="15">
        <f t="shared" si="3"/>
        <v>0</v>
      </c>
      <c r="AY60" s="11">
        <f t="shared" si="4"/>
        <v>0</v>
      </c>
      <c r="AZ60" s="14">
        <f t="shared" si="5"/>
        <v>0</v>
      </c>
      <c r="BA60" s="13">
        <f t="shared" si="6"/>
        <v>0</v>
      </c>
      <c r="BB60" s="125">
        <f t="shared" si="7"/>
        <v>-114.95431345041288</v>
      </c>
      <c r="BC60" s="22">
        <v>2</v>
      </c>
      <c r="BD60" s="7" t="s">
        <v>39</v>
      </c>
      <c r="BE60" s="214">
        <v>10</v>
      </c>
      <c r="BF60" s="7" t="s">
        <v>85</v>
      </c>
      <c r="BG60" s="7" t="s">
        <v>86</v>
      </c>
      <c r="BH60" s="8">
        <v>43890</v>
      </c>
      <c r="BI60" s="171"/>
      <c r="BJ60" s="7">
        <v>1427.14</v>
      </c>
      <c r="BK60" s="7"/>
      <c r="BL60" s="7"/>
      <c r="BM60" s="7"/>
      <c r="BN60" s="7">
        <v>301.4</v>
      </c>
      <c r="BO60" s="17">
        <v>1427.14</v>
      </c>
      <c r="BP60" s="18">
        <f t="shared" si="8"/>
        <v>0</v>
      </c>
      <c r="BQ60" s="19">
        <f t="shared" si="9"/>
        <v>0</v>
      </c>
      <c r="BR60" s="15">
        <f t="shared" si="10"/>
        <v>0</v>
      </c>
      <c r="BS60" s="11">
        <f t="shared" si="11"/>
        <v>0</v>
      </c>
      <c r="BT60" s="7">
        <f t="shared" si="12"/>
        <v>0</v>
      </c>
      <c r="BU60" s="13">
        <f t="shared" si="13"/>
        <v>0</v>
      </c>
      <c r="BV60" s="21">
        <f t="shared" si="14"/>
        <v>-114.95431345041288</v>
      </c>
      <c r="BW60" s="22">
        <v>2</v>
      </c>
      <c r="BX60" s="7" t="s">
        <v>39</v>
      </c>
      <c r="DC60" s="6"/>
      <c r="DF60" s="99"/>
    </row>
    <row r="61" spans="17:110" ht="19.5" customHeight="1">
      <c r="Q61" s="12">
        <v>11</v>
      </c>
      <c r="R61" s="7" t="s">
        <v>58</v>
      </c>
      <c r="S61" s="7" t="s">
        <v>35</v>
      </c>
      <c r="T61" s="8">
        <v>43830</v>
      </c>
      <c r="U61" s="171">
        <v>1202.79</v>
      </c>
      <c r="V61" s="7">
        <v>22816.05</v>
      </c>
      <c r="W61" s="7"/>
      <c r="X61" s="7"/>
      <c r="Y61" s="7"/>
      <c r="Z61" s="7">
        <v>4241.21</v>
      </c>
      <c r="AA61" s="17">
        <v>22816.05</v>
      </c>
      <c r="AB61" s="18">
        <v>547.0999999999985</v>
      </c>
      <c r="AC61" s="19">
        <v>65.65199999999987</v>
      </c>
      <c r="AD61" s="15">
        <v>612.7519999999984</v>
      </c>
      <c r="AE61" s="11">
        <v>1776.9807999999953</v>
      </c>
      <c r="AF61" s="7">
        <v>-180.75813890549568</v>
      </c>
      <c r="AG61" s="13">
        <v>1596.2226610944995</v>
      </c>
      <c r="AH61" s="125">
        <v>1596.2133945476721</v>
      </c>
      <c r="AI61" s="22">
        <v>2</v>
      </c>
      <c r="AJ61" s="7" t="s">
        <v>39</v>
      </c>
      <c r="AK61" s="196">
        <v>11</v>
      </c>
      <c r="AL61" s="197" t="s">
        <v>58</v>
      </c>
      <c r="AM61" s="7" t="s">
        <v>35</v>
      </c>
      <c r="AN61" s="8">
        <v>43861</v>
      </c>
      <c r="AO61" s="171">
        <v>1596.22</v>
      </c>
      <c r="AP61" s="14">
        <v>23299.32</v>
      </c>
      <c r="AQ61" s="14"/>
      <c r="AR61" s="7"/>
      <c r="AS61" s="7"/>
      <c r="AT61" s="7">
        <v>4241.21</v>
      </c>
      <c r="AU61" s="17">
        <f t="shared" si="0"/>
        <v>23299.32</v>
      </c>
      <c r="AV61" s="200">
        <f t="shared" si="1"/>
        <v>483.27000000000044</v>
      </c>
      <c r="AW61" s="19">
        <f t="shared" si="2"/>
        <v>57.992400000000075</v>
      </c>
      <c r="AX61" s="15">
        <f t="shared" si="3"/>
        <v>541.2624000000005</v>
      </c>
      <c r="AY61" s="11">
        <f t="shared" si="4"/>
        <v>1569.6609600000015</v>
      </c>
      <c r="AZ61" s="14">
        <f t="shared" si="5"/>
        <v>-167.50230682508092</v>
      </c>
      <c r="BA61" s="13">
        <f t="shared" si="6"/>
        <v>1402.1586531749206</v>
      </c>
      <c r="BB61" s="125">
        <f t="shared" si="7"/>
        <v>1402.1520477225927</v>
      </c>
      <c r="BC61" s="22">
        <v>2</v>
      </c>
      <c r="BD61" s="7" t="s">
        <v>39</v>
      </c>
      <c r="BE61" s="214">
        <v>11</v>
      </c>
      <c r="BF61" s="7" t="s">
        <v>58</v>
      </c>
      <c r="BG61" s="7" t="s">
        <v>35</v>
      </c>
      <c r="BH61" s="8">
        <v>43890</v>
      </c>
      <c r="BI61" s="171">
        <v>1402.16</v>
      </c>
      <c r="BJ61" s="7">
        <v>23978</v>
      </c>
      <c r="BK61" s="7"/>
      <c r="BL61" s="7"/>
      <c r="BM61" s="7"/>
      <c r="BN61" s="7">
        <v>4241.21</v>
      </c>
      <c r="BO61" s="17">
        <v>23978</v>
      </c>
      <c r="BP61" s="18">
        <f t="shared" si="8"/>
        <v>678.6800000000003</v>
      </c>
      <c r="BQ61" s="19">
        <f t="shared" si="9"/>
        <v>170.80433125979914</v>
      </c>
      <c r="BR61" s="15">
        <f t="shared" si="10"/>
        <v>849.4843312597994</v>
      </c>
      <c r="BS61" s="11">
        <f t="shared" si="11"/>
        <v>2463.504560653418</v>
      </c>
      <c r="BT61" s="7">
        <f t="shared" si="12"/>
        <v>-242.5075507572618</v>
      </c>
      <c r="BU61" s="13">
        <f t="shared" si="13"/>
        <v>2220.997009896156</v>
      </c>
      <c r="BV61" s="21">
        <f t="shared" si="14"/>
        <v>2220.989057618749</v>
      </c>
      <c r="BW61" s="22">
        <v>2</v>
      </c>
      <c r="BX61" s="7" t="s">
        <v>39</v>
      </c>
      <c r="DC61" s="6"/>
      <c r="DF61" s="99"/>
    </row>
    <row r="62" spans="17:110" ht="19.5" customHeight="1">
      <c r="Q62" s="12">
        <v>12</v>
      </c>
      <c r="R62" s="7" t="s">
        <v>59</v>
      </c>
      <c r="S62" s="7" t="s">
        <v>11</v>
      </c>
      <c r="T62" s="8">
        <v>43830</v>
      </c>
      <c r="U62" s="171"/>
      <c r="V62" s="7">
        <v>6114.71</v>
      </c>
      <c r="W62" s="7"/>
      <c r="X62" s="7"/>
      <c r="Y62" s="7"/>
      <c r="Z62" s="7"/>
      <c r="AA62" s="17">
        <v>6114.71</v>
      </c>
      <c r="AB62" s="18">
        <v>68.80999999999949</v>
      </c>
      <c r="AC62" s="19">
        <v>8.257199999999944</v>
      </c>
      <c r="AD62" s="15">
        <v>77.06719999999943</v>
      </c>
      <c r="AE62" s="11">
        <v>223.49487999999835</v>
      </c>
      <c r="AF62" s="7">
        <v>-22.73435850500292</v>
      </c>
      <c r="AG62" s="13">
        <v>200.76052149499543</v>
      </c>
      <c r="AH62" s="125">
        <v>-1072.543865688866</v>
      </c>
      <c r="AI62" s="22">
        <v>1</v>
      </c>
      <c r="AJ62" s="7" t="s">
        <v>39</v>
      </c>
      <c r="AK62" s="196">
        <v>12</v>
      </c>
      <c r="AL62" s="197" t="s">
        <v>59</v>
      </c>
      <c r="AM62" s="7" t="s">
        <v>11</v>
      </c>
      <c r="AN62" s="8">
        <v>43861</v>
      </c>
      <c r="AO62" s="171"/>
      <c r="AP62" s="14">
        <v>6203.79</v>
      </c>
      <c r="AQ62" s="14"/>
      <c r="AR62" s="7"/>
      <c r="AS62" s="7"/>
      <c r="AT62" s="7"/>
      <c r="AU62" s="17">
        <f t="shared" si="0"/>
        <v>6203.79</v>
      </c>
      <c r="AV62" s="200">
        <f t="shared" si="1"/>
        <v>89.07999999999993</v>
      </c>
      <c r="AW62" s="19">
        <f t="shared" si="2"/>
        <v>10.689599999999995</v>
      </c>
      <c r="AX62" s="15">
        <f t="shared" si="3"/>
        <v>99.76959999999993</v>
      </c>
      <c r="AY62" s="11">
        <f t="shared" si="4"/>
        <v>289.3318399999998</v>
      </c>
      <c r="AZ62" s="14">
        <f t="shared" si="5"/>
        <v>-30.875298470788962</v>
      </c>
      <c r="BA62" s="13">
        <f t="shared" si="6"/>
        <v>258.4565415292108</v>
      </c>
      <c r="BB62" s="125">
        <f t="shared" si="7"/>
        <v>-814.087324159655</v>
      </c>
      <c r="BC62" s="22">
        <v>1</v>
      </c>
      <c r="BD62" s="7" t="s">
        <v>39</v>
      </c>
      <c r="BE62" s="214">
        <v>12</v>
      </c>
      <c r="BF62" s="7" t="s">
        <v>59</v>
      </c>
      <c r="BG62" s="7" t="s">
        <v>11</v>
      </c>
      <c r="BH62" s="8">
        <v>43890</v>
      </c>
      <c r="BI62" s="171"/>
      <c r="BJ62" s="7">
        <v>6386.12</v>
      </c>
      <c r="BK62" s="7"/>
      <c r="BL62" s="7"/>
      <c r="BM62" s="7"/>
      <c r="BN62" s="7"/>
      <c r="BO62" s="17">
        <v>6386.12</v>
      </c>
      <c r="BP62" s="18">
        <f t="shared" si="8"/>
        <v>182.32999999999993</v>
      </c>
      <c r="BQ62" s="19">
        <f t="shared" si="9"/>
        <v>45.887242468614296</v>
      </c>
      <c r="BR62" s="15">
        <f t="shared" si="10"/>
        <v>228.21724246861422</v>
      </c>
      <c r="BS62" s="11">
        <f t="shared" si="11"/>
        <v>661.8300031589812</v>
      </c>
      <c r="BT62" s="7">
        <f t="shared" si="12"/>
        <v>-65.15058898092106</v>
      </c>
      <c r="BU62" s="13">
        <f t="shared" si="13"/>
        <v>596.6794141780601</v>
      </c>
      <c r="BV62" s="21">
        <f t="shared" si="14"/>
        <v>-217.4079099815949</v>
      </c>
      <c r="BW62" s="22">
        <v>1</v>
      </c>
      <c r="BX62" s="7" t="s">
        <v>39</v>
      </c>
      <c r="DC62" s="6"/>
      <c r="DF62" s="99"/>
    </row>
    <row r="63" spans="17:110" ht="19.5" customHeight="1">
      <c r="Q63" s="12">
        <v>13</v>
      </c>
      <c r="R63" s="7" t="s">
        <v>60</v>
      </c>
      <c r="S63" s="7" t="s">
        <v>9</v>
      </c>
      <c r="T63" s="8">
        <v>43830</v>
      </c>
      <c r="U63" s="171">
        <v>3000</v>
      </c>
      <c r="V63" s="7">
        <v>33421.32</v>
      </c>
      <c r="W63" s="7"/>
      <c r="X63" s="7"/>
      <c r="Y63" s="7"/>
      <c r="Z63" s="7"/>
      <c r="AA63" s="17">
        <v>33421.32</v>
      </c>
      <c r="AB63" s="18">
        <v>602.2299999999959</v>
      </c>
      <c r="AC63" s="19">
        <v>72.26759999999956</v>
      </c>
      <c r="AD63" s="15">
        <v>674.4975999999955</v>
      </c>
      <c r="AE63" s="11">
        <v>1956.0430399999868</v>
      </c>
      <c r="AF63" s="7">
        <v>-198.97271795477283</v>
      </c>
      <c r="AG63" s="13">
        <v>1757.070322045214</v>
      </c>
      <c r="AH63" s="125">
        <v>-1104.9958816567425</v>
      </c>
      <c r="AI63" s="22">
        <v>1</v>
      </c>
      <c r="AJ63" s="7" t="s">
        <v>39</v>
      </c>
      <c r="AK63" s="196">
        <v>13</v>
      </c>
      <c r="AL63" s="197" t="s">
        <v>60</v>
      </c>
      <c r="AM63" s="7" t="s">
        <v>9</v>
      </c>
      <c r="AN63" s="8">
        <v>43861</v>
      </c>
      <c r="AO63" s="171"/>
      <c r="AP63" s="14">
        <v>34087.18</v>
      </c>
      <c r="AQ63" s="14"/>
      <c r="AR63" s="7"/>
      <c r="AS63" s="7"/>
      <c r="AT63" s="7"/>
      <c r="AU63" s="17">
        <f t="shared" si="0"/>
        <v>34087.18</v>
      </c>
      <c r="AV63" s="200">
        <f t="shared" si="1"/>
        <v>665.8600000000006</v>
      </c>
      <c r="AW63" s="19">
        <f t="shared" si="2"/>
        <v>79.9032000000001</v>
      </c>
      <c r="AX63" s="15">
        <f t="shared" si="3"/>
        <v>745.7632000000007</v>
      </c>
      <c r="AY63" s="11">
        <f t="shared" si="4"/>
        <v>2162.7132800000018</v>
      </c>
      <c r="AZ63" s="14">
        <f t="shared" si="5"/>
        <v>-230.78835024427</v>
      </c>
      <c r="BA63" s="13">
        <f t="shared" si="6"/>
        <v>1931.9249297557317</v>
      </c>
      <c r="BB63" s="125">
        <f t="shared" si="7"/>
        <v>826.9290480989891</v>
      </c>
      <c r="BC63" s="22">
        <v>1</v>
      </c>
      <c r="BD63" s="7" t="s">
        <v>39</v>
      </c>
      <c r="BE63" s="214">
        <v>13</v>
      </c>
      <c r="BF63" s="7" t="s">
        <v>60</v>
      </c>
      <c r="BG63" s="7" t="s">
        <v>9</v>
      </c>
      <c r="BH63" s="8">
        <v>43890</v>
      </c>
      <c r="BI63" s="171">
        <v>3000</v>
      </c>
      <c r="BJ63" s="7">
        <v>34685.17</v>
      </c>
      <c r="BK63" s="7"/>
      <c r="BL63" s="7"/>
      <c r="BM63" s="7"/>
      <c r="BN63" s="7"/>
      <c r="BO63" s="17">
        <v>34685.17</v>
      </c>
      <c r="BP63" s="18">
        <f t="shared" si="8"/>
        <v>597.989999999998</v>
      </c>
      <c r="BQ63" s="19">
        <f t="shared" si="9"/>
        <v>150.49696771681337</v>
      </c>
      <c r="BR63" s="15">
        <f t="shared" si="10"/>
        <v>748.4869677168114</v>
      </c>
      <c r="BS63" s="11">
        <f t="shared" si="11"/>
        <v>2170.612206378753</v>
      </c>
      <c r="BT63" s="7">
        <f t="shared" si="12"/>
        <v>-213.6752081648707</v>
      </c>
      <c r="BU63" s="13">
        <f t="shared" si="13"/>
        <v>1956.9369982138824</v>
      </c>
      <c r="BV63" s="21">
        <f t="shared" si="14"/>
        <v>-216.13395368712827</v>
      </c>
      <c r="BW63" s="22">
        <v>1</v>
      </c>
      <c r="BX63" s="7" t="s">
        <v>39</v>
      </c>
      <c r="DC63" s="6"/>
      <c r="DF63" s="99"/>
    </row>
    <row r="64" spans="17:110" ht="19.5" customHeight="1">
      <c r="Q64" s="12">
        <v>14</v>
      </c>
      <c r="R64" s="7" t="s">
        <v>61</v>
      </c>
      <c r="S64" s="7" t="s">
        <v>16</v>
      </c>
      <c r="T64" s="8">
        <v>43830</v>
      </c>
      <c r="U64" s="171"/>
      <c r="V64" s="7">
        <v>2116.41</v>
      </c>
      <c r="W64" s="7"/>
      <c r="X64" s="7"/>
      <c r="Y64" s="7"/>
      <c r="Z64" s="7"/>
      <c r="AA64" s="17">
        <v>2116.41</v>
      </c>
      <c r="AB64" s="18">
        <v>13.019999999999982</v>
      </c>
      <c r="AC64" s="19">
        <v>1.562399999999999</v>
      </c>
      <c r="AD64" s="15">
        <v>14.58239999999998</v>
      </c>
      <c r="AE64" s="11">
        <v>42.28895999999994</v>
      </c>
      <c r="AF64" s="7">
        <v>-4.301719920580436</v>
      </c>
      <c r="AG64" s="13">
        <v>37.9872400794195</v>
      </c>
      <c r="AH64" s="125">
        <v>-318.9641774308003</v>
      </c>
      <c r="AI64" s="22">
        <v>1</v>
      </c>
      <c r="AJ64" s="7" t="s">
        <v>39</v>
      </c>
      <c r="AK64" s="196">
        <v>14</v>
      </c>
      <c r="AL64" s="197" t="s">
        <v>61</v>
      </c>
      <c r="AM64" s="7" t="s">
        <v>16</v>
      </c>
      <c r="AN64" s="8">
        <v>43861</v>
      </c>
      <c r="AO64" s="171"/>
      <c r="AP64" s="14">
        <v>2116.93</v>
      </c>
      <c r="AQ64" s="14"/>
      <c r="AR64" s="7"/>
      <c r="AS64" s="7"/>
      <c r="AT64" s="7"/>
      <c r="AU64" s="17">
        <f t="shared" si="0"/>
        <v>2116.93</v>
      </c>
      <c r="AV64" s="200">
        <f t="shared" si="1"/>
        <v>0.5199999999999818</v>
      </c>
      <c r="AW64" s="19">
        <f t="shared" si="2"/>
        <v>0.062399999999997846</v>
      </c>
      <c r="AX64" s="15">
        <f t="shared" si="3"/>
        <v>0.5823999999999796</v>
      </c>
      <c r="AY64" s="11">
        <f t="shared" si="4"/>
        <v>1.6889599999999407</v>
      </c>
      <c r="AZ64" s="14">
        <f t="shared" si="5"/>
        <v>-0.18023299511461283</v>
      </c>
      <c r="BA64" s="13">
        <f t="shared" si="6"/>
        <v>1.5087270048853278</v>
      </c>
      <c r="BB64" s="125">
        <f t="shared" si="7"/>
        <v>-317.455450425915</v>
      </c>
      <c r="BC64" s="22">
        <v>1</v>
      </c>
      <c r="BD64" s="7" t="s">
        <v>39</v>
      </c>
      <c r="BE64" s="214">
        <v>14</v>
      </c>
      <c r="BF64" s="7" t="s">
        <v>61</v>
      </c>
      <c r="BG64" s="7" t="s">
        <v>16</v>
      </c>
      <c r="BH64" s="8">
        <v>43890</v>
      </c>
      <c r="BI64" s="171"/>
      <c r="BJ64" s="7">
        <v>2121.31</v>
      </c>
      <c r="BK64" s="7"/>
      <c r="BL64" s="7"/>
      <c r="BM64" s="7"/>
      <c r="BN64" s="7"/>
      <c r="BO64" s="17">
        <v>2121.31</v>
      </c>
      <c r="BP64" s="18">
        <f t="shared" si="8"/>
        <v>4.380000000000109</v>
      </c>
      <c r="BQ64" s="19">
        <f t="shared" si="9"/>
        <v>1.1023206384716486</v>
      </c>
      <c r="BR64" s="15">
        <f t="shared" si="10"/>
        <v>5.482320638471758</v>
      </c>
      <c r="BS64" s="11">
        <f t="shared" si="11"/>
        <v>15.898729851568097</v>
      </c>
      <c r="BT64" s="7">
        <f t="shared" si="12"/>
        <v>-1.5650720108399139</v>
      </c>
      <c r="BU64" s="13">
        <f t="shared" si="13"/>
        <v>14.333657840728183</v>
      </c>
      <c r="BV64" s="21">
        <f t="shared" si="14"/>
        <v>-303.1217925851868</v>
      </c>
      <c r="BW64" s="22">
        <v>1</v>
      </c>
      <c r="BX64" s="7" t="s">
        <v>39</v>
      </c>
      <c r="DC64" s="6"/>
      <c r="DF64" s="99"/>
    </row>
    <row r="65" spans="17:110" ht="19.5" customHeight="1">
      <c r="Q65" s="12">
        <v>15</v>
      </c>
      <c r="R65" s="7" t="s">
        <v>62</v>
      </c>
      <c r="S65" s="7" t="s">
        <v>48</v>
      </c>
      <c r="T65" s="8">
        <v>43830</v>
      </c>
      <c r="U65" s="171"/>
      <c r="V65" s="7">
        <v>17086.6</v>
      </c>
      <c r="W65" s="7"/>
      <c r="X65" s="7"/>
      <c r="Y65" s="7"/>
      <c r="Z65" s="7">
        <v>888.7200000000004</v>
      </c>
      <c r="AA65" s="17">
        <v>17086.6</v>
      </c>
      <c r="AB65" s="18">
        <v>257.8399999999965</v>
      </c>
      <c r="AC65" s="19">
        <v>30.9407999999996</v>
      </c>
      <c r="AD65" s="15">
        <v>288.78079999999613</v>
      </c>
      <c r="AE65" s="11">
        <v>837.4643199999888</v>
      </c>
      <c r="AF65" s="7">
        <v>-85.18859172983458</v>
      </c>
      <c r="AG65" s="13">
        <v>752.2757282701542</v>
      </c>
      <c r="AH65" s="125">
        <v>-6617.050827441125</v>
      </c>
      <c r="AI65" s="22">
        <v>2</v>
      </c>
      <c r="AJ65" s="7" t="s">
        <v>39</v>
      </c>
      <c r="AK65" s="196">
        <v>15</v>
      </c>
      <c r="AL65" s="197" t="s">
        <v>62</v>
      </c>
      <c r="AM65" s="7" t="s">
        <v>48</v>
      </c>
      <c r="AN65" s="8">
        <v>43861</v>
      </c>
      <c r="AO65" s="171"/>
      <c r="AP65" s="14">
        <v>17374.6</v>
      </c>
      <c r="AQ65" s="14"/>
      <c r="AR65" s="7"/>
      <c r="AS65" s="7"/>
      <c r="AT65" s="7">
        <v>888.7200000000004</v>
      </c>
      <c r="AU65" s="17">
        <f t="shared" si="0"/>
        <v>17374.6</v>
      </c>
      <c r="AV65" s="200">
        <f t="shared" si="1"/>
        <v>288</v>
      </c>
      <c r="AW65" s="19">
        <f t="shared" si="2"/>
        <v>34.56000000000002</v>
      </c>
      <c r="AX65" s="15">
        <f t="shared" si="3"/>
        <v>322.56</v>
      </c>
      <c r="AY65" s="11">
        <f t="shared" si="4"/>
        <v>935.424</v>
      </c>
      <c r="AZ65" s="14">
        <f t="shared" si="5"/>
        <v>-99.82135114040445</v>
      </c>
      <c r="BA65" s="13">
        <f t="shared" si="6"/>
        <v>835.6026488595955</v>
      </c>
      <c r="BB65" s="125">
        <f t="shared" si="7"/>
        <v>-5781.44817858153</v>
      </c>
      <c r="BC65" s="22">
        <v>2</v>
      </c>
      <c r="BD65" s="7" t="s">
        <v>39</v>
      </c>
      <c r="BE65" s="214">
        <v>15</v>
      </c>
      <c r="BF65" s="7" t="s">
        <v>62</v>
      </c>
      <c r="BG65" s="7" t="s">
        <v>48</v>
      </c>
      <c r="BH65" s="8">
        <v>43890</v>
      </c>
      <c r="BI65" s="171"/>
      <c r="BJ65" s="7">
        <v>17663.53</v>
      </c>
      <c r="BK65" s="7"/>
      <c r="BL65" s="7"/>
      <c r="BM65" s="7"/>
      <c r="BN65" s="7">
        <v>888.7200000000004</v>
      </c>
      <c r="BO65" s="17">
        <v>17663.53</v>
      </c>
      <c r="BP65" s="18">
        <f t="shared" si="8"/>
        <v>288.9300000000003</v>
      </c>
      <c r="BQ65" s="19">
        <f t="shared" si="9"/>
        <v>72.7154114323301</v>
      </c>
      <c r="BR65" s="15">
        <f t="shared" si="10"/>
        <v>361.6454114323304</v>
      </c>
      <c r="BS65" s="11">
        <f t="shared" si="11"/>
        <v>1048.771693153758</v>
      </c>
      <c r="BT65" s="7">
        <f t="shared" si="12"/>
        <v>-103.24115435889622</v>
      </c>
      <c r="BU65" s="13">
        <f t="shared" si="13"/>
        <v>945.5305387948617</v>
      </c>
      <c r="BV65" s="21">
        <f t="shared" si="14"/>
        <v>-4835.917639786668</v>
      </c>
      <c r="BW65" s="22">
        <v>2</v>
      </c>
      <c r="BX65" s="7" t="s">
        <v>39</v>
      </c>
      <c r="DC65" s="6"/>
      <c r="DF65" s="99"/>
    </row>
    <row r="66" spans="17:110" ht="19.5" customHeight="1">
      <c r="Q66" s="12">
        <v>16</v>
      </c>
      <c r="R66" s="7" t="s">
        <v>63</v>
      </c>
      <c r="S66" s="7" t="s">
        <v>151</v>
      </c>
      <c r="T66" s="8">
        <v>43830</v>
      </c>
      <c r="U66" s="171">
        <v>3000</v>
      </c>
      <c r="V66" s="7">
        <v>9970.89</v>
      </c>
      <c r="W66" s="7">
        <v>90.64</v>
      </c>
      <c r="X66" s="7">
        <v>-7969.589999999999</v>
      </c>
      <c r="Y66" s="7">
        <v>1067.8600000000001</v>
      </c>
      <c r="Z66" s="7"/>
      <c r="AA66" s="17">
        <v>3159.7999999999997</v>
      </c>
      <c r="AB66" s="18">
        <v>359.40999999999985</v>
      </c>
      <c r="AC66" s="19">
        <v>43.12920000000001</v>
      </c>
      <c r="AD66" s="15">
        <v>402.5391999999999</v>
      </c>
      <c r="AE66" s="11">
        <v>1167.3636799999997</v>
      </c>
      <c r="AF66" s="7">
        <v>-118.7466326156541</v>
      </c>
      <c r="AG66" s="13">
        <v>1048.6170473843456</v>
      </c>
      <c r="AH66" s="125">
        <v>134.53707783251843</v>
      </c>
      <c r="AI66" s="22">
        <v>2</v>
      </c>
      <c r="AJ66" s="7" t="s">
        <v>39</v>
      </c>
      <c r="AK66" s="196">
        <v>16</v>
      </c>
      <c r="AL66" s="197" t="s">
        <v>63</v>
      </c>
      <c r="AM66" s="7" t="s">
        <v>151</v>
      </c>
      <c r="AN66" s="8">
        <v>43861</v>
      </c>
      <c r="AO66" s="171"/>
      <c r="AP66" s="14">
        <v>10525.08</v>
      </c>
      <c r="AQ66" s="14">
        <v>90.64</v>
      </c>
      <c r="AR66" s="7">
        <v>-7969.589999999999</v>
      </c>
      <c r="AS66" s="7">
        <v>1067.8600000000001</v>
      </c>
      <c r="AT66" s="7"/>
      <c r="AU66" s="17">
        <f t="shared" si="0"/>
        <v>3713.9900000000002</v>
      </c>
      <c r="AV66" s="200">
        <f t="shared" si="1"/>
        <v>554.1900000000005</v>
      </c>
      <c r="AW66" s="19">
        <f t="shared" si="2"/>
        <v>66.5028000000001</v>
      </c>
      <c r="AX66" s="15">
        <f t="shared" si="3"/>
        <v>620.6928000000006</v>
      </c>
      <c r="AY66" s="11">
        <f t="shared" si="4"/>
        <v>1800.0091200000018</v>
      </c>
      <c r="AZ66" s="14">
        <f t="shared" si="5"/>
        <v>-192.08331454340555</v>
      </c>
      <c r="BA66" s="13">
        <f t="shared" si="6"/>
        <v>1607.9258054565962</v>
      </c>
      <c r="BB66" s="125">
        <f t="shared" si="7"/>
        <v>1742.4628832891146</v>
      </c>
      <c r="BC66" s="22">
        <v>2</v>
      </c>
      <c r="BD66" s="7" t="s">
        <v>39</v>
      </c>
      <c r="BE66" s="214">
        <v>16</v>
      </c>
      <c r="BF66" s="7" t="s">
        <v>63</v>
      </c>
      <c r="BG66" s="7" t="s">
        <v>151</v>
      </c>
      <c r="BH66" s="8">
        <v>43890</v>
      </c>
      <c r="BI66" s="171">
        <v>3000</v>
      </c>
      <c r="BJ66" s="7">
        <v>11205.300000000001</v>
      </c>
      <c r="BK66" s="7">
        <v>90.64</v>
      </c>
      <c r="BL66" s="7">
        <v>-7969.589999999999</v>
      </c>
      <c r="BM66" s="7">
        <v>1067.8600000000001</v>
      </c>
      <c r="BN66" s="7"/>
      <c r="BO66" s="17">
        <v>4394.210000000001</v>
      </c>
      <c r="BP66" s="18">
        <f t="shared" si="8"/>
        <v>680.2200000000007</v>
      </c>
      <c r="BQ66" s="19">
        <f t="shared" si="9"/>
        <v>171.19190518291484</v>
      </c>
      <c r="BR66" s="15">
        <f t="shared" si="10"/>
        <v>851.4119051829156</v>
      </c>
      <c r="BS66" s="11">
        <f t="shared" si="11"/>
        <v>2469.0945250304553</v>
      </c>
      <c r="BT66" s="7">
        <f t="shared" si="12"/>
        <v>-243.05782721769427</v>
      </c>
      <c r="BU66" s="13">
        <f t="shared" si="13"/>
        <v>2226.036697812761</v>
      </c>
      <c r="BV66" s="21">
        <f t="shared" si="14"/>
        <v>968.4995811018755</v>
      </c>
      <c r="BW66" s="22">
        <v>2</v>
      </c>
      <c r="BX66" s="7" t="s">
        <v>39</v>
      </c>
      <c r="DC66" s="6"/>
      <c r="DF66" s="99"/>
    </row>
    <row r="67" spans="17:110" ht="19.5" customHeight="1">
      <c r="Q67" s="12">
        <v>17</v>
      </c>
      <c r="R67" s="7" t="s">
        <v>134</v>
      </c>
      <c r="S67" s="7" t="s">
        <v>124</v>
      </c>
      <c r="T67" s="8">
        <v>43830</v>
      </c>
      <c r="U67" s="171"/>
      <c r="V67" s="7">
        <v>7776.04</v>
      </c>
      <c r="W67" s="7">
        <v>5.01</v>
      </c>
      <c r="X67" s="7">
        <v>-5890.88</v>
      </c>
      <c r="Y67" s="7"/>
      <c r="Z67" s="7"/>
      <c r="AA67" s="17">
        <v>1890.17</v>
      </c>
      <c r="AB67" s="18">
        <v>0</v>
      </c>
      <c r="AC67" s="19">
        <v>0</v>
      </c>
      <c r="AD67" s="15">
        <v>0</v>
      </c>
      <c r="AE67" s="11">
        <v>0</v>
      </c>
      <c r="AF67" s="7">
        <v>0</v>
      </c>
      <c r="AG67" s="13">
        <v>0</v>
      </c>
      <c r="AH67" s="125">
        <v>-831.6601322903933</v>
      </c>
      <c r="AI67" s="22">
        <v>2</v>
      </c>
      <c r="AJ67" s="7" t="s">
        <v>39</v>
      </c>
      <c r="AK67" s="196">
        <v>17</v>
      </c>
      <c r="AL67" s="197" t="s">
        <v>134</v>
      </c>
      <c r="AM67" s="7" t="s">
        <v>124</v>
      </c>
      <c r="AN67" s="8">
        <v>43861</v>
      </c>
      <c r="AO67" s="171"/>
      <c r="AP67" s="14">
        <v>7776.04</v>
      </c>
      <c r="AQ67" s="14">
        <v>5.01</v>
      </c>
      <c r="AR67" s="7">
        <v>-5890.88</v>
      </c>
      <c r="AS67" s="7"/>
      <c r="AT67" s="7"/>
      <c r="AU67" s="17">
        <f t="shared" si="0"/>
        <v>1890.17</v>
      </c>
      <c r="AV67" s="200">
        <f t="shared" si="1"/>
        <v>0</v>
      </c>
      <c r="AW67" s="19">
        <f t="shared" si="2"/>
        <v>0</v>
      </c>
      <c r="AX67" s="15">
        <f t="shared" si="3"/>
        <v>0</v>
      </c>
      <c r="AY67" s="11">
        <f t="shared" si="4"/>
        <v>0</v>
      </c>
      <c r="AZ67" s="14">
        <f t="shared" si="5"/>
        <v>0</v>
      </c>
      <c r="BA67" s="13">
        <f t="shared" si="6"/>
        <v>0</v>
      </c>
      <c r="BB67" s="125">
        <f t="shared" si="7"/>
        <v>-831.6601322903933</v>
      </c>
      <c r="BC67" s="22">
        <v>2</v>
      </c>
      <c r="BD67" s="7" t="s">
        <v>39</v>
      </c>
      <c r="BE67" s="214">
        <v>17</v>
      </c>
      <c r="BF67" s="7" t="s">
        <v>134</v>
      </c>
      <c r="BG67" s="7" t="s">
        <v>124</v>
      </c>
      <c r="BH67" s="8">
        <v>43890</v>
      </c>
      <c r="BI67" s="171"/>
      <c r="BJ67" s="7">
        <v>7776.04</v>
      </c>
      <c r="BK67" s="7">
        <v>5.01</v>
      </c>
      <c r="BL67" s="7">
        <v>-5890.88</v>
      </c>
      <c r="BM67" s="7"/>
      <c r="BN67" s="7"/>
      <c r="BO67" s="17">
        <v>1890.17</v>
      </c>
      <c r="BP67" s="18">
        <f t="shared" si="8"/>
        <v>0</v>
      </c>
      <c r="BQ67" s="19">
        <f t="shared" si="9"/>
        <v>0</v>
      </c>
      <c r="BR67" s="15">
        <f t="shared" si="10"/>
        <v>0</v>
      </c>
      <c r="BS67" s="11">
        <f t="shared" si="11"/>
        <v>0</v>
      </c>
      <c r="BT67" s="7">
        <f t="shared" si="12"/>
        <v>0</v>
      </c>
      <c r="BU67" s="13">
        <f t="shared" si="13"/>
        <v>0</v>
      </c>
      <c r="BV67" s="21">
        <f t="shared" si="14"/>
        <v>-831.6601322903933</v>
      </c>
      <c r="BW67" s="22">
        <v>2</v>
      </c>
      <c r="BX67" s="7" t="s">
        <v>39</v>
      </c>
      <c r="DC67" s="6"/>
      <c r="DF67" s="99"/>
    </row>
    <row r="68" spans="17:110" ht="19.5" customHeight="1">
      <c r="Q68" s="12">
        <v>18</v>
      </c>
      <c r="R68" s="7" t="s">
        <v>65</v>
      </c>
      <c r="S68" s="7" t="s">
        <v>101</v>
      </c>
      <c r="T68" s="8">
        <v>43830</v>
      </c>
      <c r="U68" s="171"/>
      <c r="V68" s="7">
        <v>239.64000000000001</v>
      </c>
      <c r="W68" s="7"/>
      <c r="X68" s="7"/>
      <c r="Y68" s="7">
        <v>1556.52</v>
      </c>
      <c r="Z68" s="7"/>
      <c r="AA68" s="17">
        <v>1796.16</v>
      </c>
      <c r="AB68" s="18">
        <v>0</v>
      </c>
      <c r="AC68" s="19">
        <v>0</v>
      </c>
      <c r="AD68" s="15">
        <v>0</v>
      </c>
      <c r="AE68" s="11">
        <v>0</v>
      </c>
      <c r="AF68" s="7">
        <v>0</v>
      </c>
      <c r="AG68" s="13">
        <v>0</v>
      </c>
      <c r="AH68" s="125">
        <v>496.477336573545</v>
      </c>
      <c r="AI68" s="22">
        <v>2</v>
      </c>
      <c r="AJ68" s="7" t="s">
        <v>39</v>
      </c>
      <c r="AK68" s="196">
        <v>18</v>
      </c>
      <c r="AL68" s="197" t="s">
        <v>65</v>
      </c>
      <c r="AM68" s="7" t="s">
        <v>101</v>
      </c>
      <c r="AN68" s="8">
        <v>43861</v>
      </c>
      <c r="AO68" s="171"/>
      <c r="AP68" s="14">
        <v>239.64000000000001</v>
      </c>
      <c r="AQ68" s="14"/>
      <c r="AR68" s="7"/>
      <c r="AS68" s="7">
        <v>1556.52</v>
      </c>
      <c r="AT68" s="7"/>
      <c r="AU68" s="17">
        <f t="shared" si="0"/>
        <v>1796.16</v>
      </c>
      <c r="AV68" s="200">
        <f t="shared" si="1"/>
        <v>0</v>
      </c>
      <c r="AW68" s="19">
        <f t="shared" si="2"/>
        <v>0</v>
      </c>
      <c r="AX68" s="15">
        <f t="shared" si="3"/>
        <v>0</v>
      </c>
      <c r="AY68" s="11">
        <f t="shared" si="4"/>
        <v>0</v>
      </c>
      <c r="AZ68" s="14">
        <f t="shared" si="5"/>
        <v>0</v>
      </c>
      <c r="BA68" s="13">
        <f t="shared" si="6"/>
        <v>0</v>
      </c>
      <c r="BB68" s="125">
        <f t="shared" si="7"/>
        <v>496.477336573545</v>
      </c>
      <c r="BC68" s="22">
        <v>2</v>
      </c>
      <c r="BD68" s="7" t="s">
        <v>39</v>
      </c>
      <c r="BE68" s="214">
        <v>18</v>
      </c>
      <c r="BF68" s="7" t="s">
        <v>65</v>
      </c>
      <c r="BG68" s="7" t="s">
        <v>101</v>
      </c>
      <c r="BH68" s="8">
        <v>43890</v>
      </c>
      <c r="BI68" s="171"/>
      <c r="BJ68" s="7">
        <v>239.64000000000001</v>
      </c>
      <c r="BK68" s="7"/>
      <c r="BL68" s="7"/>
      <c r="BM68" s="7">
        <v>1556.52</v>
      </c>
      <c r="BN68" s="7"/>
      <c r="BO68" s="17">
        <v>1796.16</v>
      </c>
      <c r="BP68" s="18">
        <f t="shared" si="8"/>
        <v>0</v>
      </c>
      <c r="BQ68" s="19">
        <f t="shared" si="9"/>
        <v>0</v>
      </c>
      <c r="BR68" s="15">
        <f t="shared" si="10"/>
        <v>0</v>
      </c>
      <c r="BS68" s="11">
        <f t="shared" si="11"/>
        <v>0</v>
      </c>
      <c r="BT68" s="7">
        <f t="shared" si="12"/>
        <v>0</v>
      </c>
      <c r="BU68" s="13">
        <f t="shared" si="13"/>
        <v>0</v>
      </c>
      <c r="BV68" s="21">
        <f t="shared" si="14"/>
        <v>496.477336573545</v>
      </c>
      <c r="BW68" s="22">
        <v>2</v>
      </c>
      <c r="BX68" s="7" t="s">
        <v>39</v>
      </c>
      <c r="DC68" s="6"/>
      <c r="DF68" s="99"/>
    </row>
    <row r="69" spans="17:110" ht="19.5" customHeight="1">
      <c r="Q69" s="12">
        <v>19</v>
      </c>
      <c r="R69" s="7" t="s">
        <v>66</v>
      </c>
      <c r="S69" s="7" t="s">
        <v>18</v>
      </c>
      <c r="T69" s="8">
        <v>43830</v>
      </c>
      <c r="U69" s="171">
        <v>2000</v>
      </c>
      <c r="V69" s="7">
        <v>1556.54</v>
      </c>
      <c r="W69" s="7"/>
      <c r="X69" s="7"/>
      <c r="Y69" s="7"/>
      <c r="Z69" s="7"/>
      <c r="AA69" s="17">
        <v>1556.54</v>
      </c>
      <c r="AB69" s="18">
        <v>2.589999999999918</v>
      </c>
      <c r="AC69" s="19">
        <v>0.31079999999999036</v>
      </c>
      <c r="AD69" s="15">
        <v>2.9007999999999083</v>
      </c>
      <c r="AE69" s="11">
        <v>8.412319999999735</v>
      </c>
      <c r="AF69" s="7">
        <v>-0.8557184788251148</v>
      </c>
      <c r="AG69" s="13">
        <v>7.55660152117462</v>
      </c>
      <c r="AH69" s="125">
        <v>-1971.5290530568118</v>
      </c>
      <c r="AI69" s="22">
        <v>1</v>
      </c>
      <c r="AJ69" s="7" t="s">
        <v>39</v>
      </c>
      <c r="AK69" s="196">
        <v>19</v>
      </c>
      <c r="AL69" s="197" t="s">
        <v>66</v>
      </c>
      <c r="AM69" s="7" t="s">
        <v>18</v>
      </c>
      <c r="AN69" s="8">
        <v>43861</v>
      </c>
      <c r="AO69" s="171"/>
      <c r="AP69" s="14">
        <v>1558.8600000000001</v>
      </c>
      <c r="AQ69" s="14"/>
      <c r="AR69" s="7"/>
      <c r="AS69" s="7"/>
      <c r="AT69" s="7"/>
      <c r="AU69" s="17">
        <f t="shared" si="0"/>
        <v>1558.8600000000001</v>
      </c>
      <c r="AV69" s="200">
        <f t="shared" si="1"/>
        <v>2.3200000000001637</v>
      </c>
      <c r="AW69" s="19">
        <f t="shared" si="2"/>
        <v>0.27840000000001974</v>
      </c>
      <c r="AX69" s="15">
        <f t="shared" si="3"/>
        <v>2.5984000000001837</v>
      </c>
      <c r="AY69" s="11">
        <f t="shared" si="4"/>
        <v>7.535360000000533</v>
      </c>
      <c r="AZ69" s="14">
        <f t="shared" si="5"/>
        <v>-0.8041164397422038</v>
      </c>
      <c r="BA69" s="13">
        <f t="shared" si="6"/>
        <v>6.731243560258329</v>
      </c>
      <c r="BB69" s="125">
        <f t="shared" si="7"/>
        <v>-1964.7978094965536</v>
      </c>
      <c r="BC69" s="22">
        <v>1</v>
      </c>
      <c r="BD69" s="7" t="s">
        <v>39</v>
      </c>
      <c r="BE69" s="214">
        <v>19</v>
      </c>
      <c r="BF69" s="7" t="s">
        <v>66</v>
      </c>
      <c r="BG69" s="7" t="s">
        <v>18</v>
      </c>
      <c r="BH69" s="8">
        <v>43890</v>
      </c>
      <c r="BI69" s="171"/>
      <c r="BJ69" s="7">
        <v>1561.08</v>
      </c>
      <c r="BK69" s="7"/>
      <c r="BL69" s="7"/>
      <c r="BM69" s="7"/>
      <c r="BN69" s="7"/>
      <c r="BO69" s="17">
        <v>1561.08</v>
      </c>
      <c r="BP69" s="18">
        <f t="shared" si="8"/>
        <v>2.2199999999998</v>
      </c>
      <c r="BQ69" s="19">
        <f t="shared" si="9"/>
        <v>0.558710460595155</v>
      </c>
      <c r="BR69" s="15">
        <f t="shared" si="10"/>
        <v>2.778710460594955</v>
      </c>
      <c r="BS69" s="11">
        <f t="shared" si="11"/>
        <v>8.058260335725368</v>
      </c>
      <c r="BT69" s="7">
        <f t="shared" si="12"/>
        <v>-0.7932556767269883</v>
      </c>
      <c r="BU69" s="13">
        <f t="shared" si="13"/>
        <v>7.26500465899838</v>
      </c>
      <c r="BV69" s="21">
        <f t="shared" si="14"/>
        <v>-1957.5328048375552</v>
      </c>
      <c r="BW69" s="22">
        <v>1</v>
      </c>
      <c r="BX69" s="7" t="s">
        <v>39</v>
      </c>
      <c r="DC69" s="6"/>
      <c r="DF69" s="99"/>
    </row>
    <row r="70" spans="17:110" ht="19.5" customHeight="1">
      <c r="Q70" s="12">
        <v>20</v>
      </c>
      <c r="R70" s="7" t="s">
        <v>67</v>
      </c>
      <c r="S70" s="7" t="s">
        <v>49</v>
      </c>
      <c r="T70" s="8">
        <v>43830</v>
      </c>
      <c r="U70" s="171">
        <v>4600</v>
      </c>
      <c r="V70" s="7">
        <v>67538.09</v>
      </c>
      <c r="W70" s="7"/>
      <c r="X70" s="7"/>
      <c r="Y70" s="7"/>
      <c r="Z70" s="7">
        <v>2917.13</v>
      </c>
      <c r="AA70" s="17">
        <v>67538.09</v>
      </c>
      <c r="AB70" s="18">
        <v>2834.899999999994</v>
      </c>
      <c r="AC70" s="19">
        <v>340.18799999999953</v>
      </c>
      <c r="AD70" s="15">
        <v>3175.087999999994</v>
      </c>
      <c r="AE70" s="11">
        <v>9207.755199999981</v>
      </c>
      <c r="AF70" s="7">
        <v>-936.6317820932005</v>
      </c>
      <c r="AG70" s="13">
        <v>8271.123417906781</v>
      </c>
      <c r="AH70" s="125">
        <v>8258.03830008509</v>
      </c>
      <c r="AI70" s="22">
        <v>2</v>
      </c>
      <c r="AJ70" s="7" t="s">
        <v>39</v>
      </c>
      <c r="AK70" s="196">
        <v>20</v>
      </c>
      <c r="AL70" s="197" t="s">
        <v>67</v>
      </c>
      <c r="AM70" s="7" t="s">
        <v>49</v>
      </c>
      <c r="AN70" s="8">
        <v>43861</v>
      </c>
      <c r="AO70" s="171">
        <v>8500</v>
      </c>
      <c r="AP70" s="14">
        <v>70075.82</v>
      </c>
      <c r="AQ70" s="14"/>
      <c r="AR70" s="7"/>
      <c r="AS70" s="7"/>
      <c r="AT70" s="7">
        <v>2917.13</v>
      </c>
      <c r="AU70" s="17">
        <f t="shared" si="0"/>
        <v>70075.82</v>
      </c>
      <c r="AV70" s="200">
        <f t="shared" si="1"/>
        <v>2537.7300000000105</v>
      </c>
      <c r="AW70" s="19">
        <f t="shared" si="2"/>
        <v>304.52760000000137</v>
      </c>
      <c r="AX70" s="15">
        <f t="shared" si="3"/>
        <v>2842.2576000000117</v>
      </c>
      <c r="AY70" s="11">
        <f t="shared" si="4"/>
        <v>8242.547040000034</v>
      </c>
      <c r="AZ70" s="14">
        <f t="shared" si="5"/>
        <v>-879.5820744081237</v>
      </c>
      <c r="BA70" s="13">
        <f t="shared" si="6"/>
        <v>7362.96496559191</v>
      </c>
      <c r="BB70" s="125">
        <f t="shared" si="7"/>
        <v>7121.003265677001</v>
      </c>
      <c r="BC70" s="22">
        <v>2</v>
      </c>
      <c r="BD70" s="7" t="s">
        <v>39</v>
      </c>
      <c r="BE70" s="214">
        <v>20</v>
      </c>
      <c r="BF70" s="7" t="s">
        <v>67</v>
      </c>
      <c r="BG70" s="7" t="s">
        <v>49</v>
      </c>
      <c r="BH70" s="8">
        <v>43890</v>
      </c>
      <c r="BI70" s="171">
        <v>7200</v>
      </c>
      <c r="BJ70" s="7">
        <v>72336.07</v>
      </c>
      <c r="BK70" s="7"/>
      <c r="BL70" s="7"/>
      <c r="BM70" s="7"/>
      <c r="BN70" s="7">
        <v>2917.13</v>
      </c>
      <c r="BO70" s="17">
        <v>72336.07</v>
      </c>
      <c r="BP70" s="18">
        <f t="shared" si="8"/>
        <v>2260.25</v>
      </c>
      <c r="BQ70" s="19">
        <f t="shared" si="9"/>
        <v>568.8402335857264</v>
      </c>
      <c r="BR70" s="15">
        <f t="shared" si="10"/>
        <v>2829.0902335857263</v>
      </c>
      <c r="BS70" s="11">
        <f t="shared" si="11"/>
        <v>8204.361677398607</v>
      </c>
      <c r="BT70" s="7">
        <f t="shared" si="12"/>
        <v>-807.6379023974491</v>
      </c>
      <c r="BU70" s="13">
        <f t="shared" si="13"/>
        <v>7396.723775001157</v>
      </c>
      <c r="BV70" s="21">
        <f t="shared" si="14"/>
        <v>7317.727040678158</v>
      </c>
      <c r="BW70" s="22">
        <v>2</v>
      </c>
      <c r="BX70" s="7" t="s">
        <v>39</v>
      </c>
      <c r="DC70" s="6"/>
      <c r="DF70" s="99"/>
    </row>
    <row r="71" spans="17:110" ht="19.5" customHeight="1">
      <c r="Q71" s="12">
        <v>21</v>
      </c>
      <c r="R71" s="7" t="s">
        <v>68</v>
      </c>
      <c r="S71" s="7" t="s">
        <v>12</v>
      </c>
      <c r="T71" s="8">
        <v>43830</v>
      </c>
      <c r="U71" s="171"/>
      <c r="V71" s="7">
        <v>1022.5</v>
      </c>
      <c r="W71" s="7"/>
      <c r="X71" s="7"/>
      <c r="Y71" s="7"/>
      <c r="Z71" s="7"/>
      <c r="AA71" s="17">
        <v>1022.5</v>
      </c>
      <c r="AB71" s="18">
        <v>0</v>
      </c>
      <c r="AC71" s="19">
        <v>0</v>
      </c>
      <c r="AD71" s="15">
        <v>0</v>
      </c>
      <c r="AE71" s="11">
        <v>0</v>
      </c>
      <c r="AF71" s="7">
        <v>0</v>
      </c>
      <c r="AG71" s="13">
        <v>0</v>
      </c>
      <c r="AH71" s="125">
        <v>-315.69671190690116</v>
      </c>
      <c r="AI71" s="22">
        <v>1</v>
      </c>
      <c r="AJ71" s="7" t="s">
        <v>39</v>
      </c>
      <c r="AK71" s="196">
        <v>21</v>
      </c>
      <c r="AL71" s="197" t="s">
        <v>68</v>
      </c>
      <c r="AM71" s="7" t="s">
        <v>12</v>
      </c>
      <c r="AN71" s="8">
        <v>43861</v>
      </c>
      <c r="AO71" s="171"/>
      <c r="AP71" s="14">
        <v>1022.5</v>
      </c>
      <c r="AQ71" s="14"/>
      <c r="AR71" s="7"/>
      <c r="AS71" s="7"/>
      <c r="AT71" s="7"/>
      <c r="AU71" s="17">
        <f t="shared" si="0"/>
        <v>1022.5</v>
      </c>
      <c r="AV71" s="200">
        <f t="shared" si="1"/>
        <v>0</v>
      </c>
      <c r="AW71" s="19">
        <f t="shared" si="2"/>
        <v>0</v>
      </c>
      <c r="AX71" s="15">
        <f t="shared" si="3"/>
        <v>0</v>
      </c>
      <c r="AY71" s="11">
        <f t="shared" si="4"/>
        <v>0</v>
      </c>
      <c r="AZ71" s="14">
        <f t="shared" si="5"/>
        <v>0</v>
      </c>
      <c r="BA71" s="13">
        <f t="shared" si="6"/>
        <v>0</v>
      </c>
      <c r="BB71" s="125">
        <f t="shared" si="7"/>
        <v>-315.69671190690116</v>
      </c>
      <c r="BC71" s="22">
        <v>1</v>
      </c>
      <c r="BD71" s="7" t="s">
        <v>39</v>
      </c>
      <c r="BE71" s="214">
        <v>21</v>
      </c>
      <c r="BF71" s="7" t="s">
        <v>68</v>
      </c>
      <c r="BG71" s="7" t="s">
        <v>12</v>
      </c>
      <c r="BH71" s="8">
        <v>43890</v>
      </c>
      <c r="BI71" s="171"/>
      <c r="BJ71" s="7">
        <v>1022.5</v>
      </c>
      <c r="BK71" s="7"/>
      <c r="BL71" s="7"/>
      <c r="BM71" s="7"/>
      <c r="BN71" s="7"/>
      <c r="BO71" s="17">
        <v>1022.5</v>
      </c>
      <c r="BP71" s="18">
        <f t="shared" si="8"/>
        <v>0</v>
      </c>
      <c r="BQ71" s="19">
        <f t="shared" si="9"/>
        <v>0</v>
      </c>
      <c r="BR71" s="15">
        <f t="shared" si="10"/>
        <v>0</v>
      </c>
      <c r="BS71" s="11">
        <f t="shared" si="11"/>
        <v>0</v>
      </c>
      <c r="BT71" s="7">
        <f t="shared" si="12"/>
        <v>0</v>
      </c>
      <c r="BU71" s="13">
        <f t="shared" si="13"/>
        <v>0</v>
      </c>
      <c r="BV71" s="21">
        <f t="shared" si="14"/>
        <v>-315.69671190690116</v>
      </c>
      <c r="BW71" s="22">
        <v>1</v>
      </c>
      <c r="BX71" s="7" t="s">
        <v>39</v>
      </c>
      <c r="DC71" s="6"/>
      <c r="DF71" s="99"/>
    </row>
    <row r="72" spans="17:110" ht="19.5" customHeight="1">
      <c r="Q72" s="12">
        <v>22</v>
      </c>
      <c r="R72" s="7" t="s">
        <v>69</v>
      </c>
      <c r="S72" s="7" t="s">
        <v>37</v>
      </c>
      <c r="T72" s="8">
        <v>43830</v>
      </c>
      <c r="U72" s="171"/>
      <c r="V72" s="7">
        <v>1590.3700000000001</v>
      </c>
      <c r="W72" s="7"/>
      <c r="X72" s="7"/>
      <c r="Y72" s="7"/>
      <c r="Z72" s="7">
        <v>-12.41</v>
      </c>
      <c r="AA72" s="17">
        <v>1590.3700000000001</v>
      </c>
      <c r="AB72" s="18">
        <v>0</v>
      </c>
      <c r="AC72" s="19">
        <v>0</v>
      </c>
      <c r="AD72" s="15">
        <v>0</v>
      </c>
      <c r="AE72" s="11">
        <v>0</v>
      </c>
      <c r="AF72" s="7">
        <v>0</v>
      </c>
      <c r="AG72" s="13">
        <v>0</v>
      </c>
      <c r="AH72" s="125">
        <v>312.22962629042024</v>
      </c>
      <c r="AI72" s="22">
        <v>2</v>
      </c>
      <c r="AJ72" s="7" t="s">
        <v>39</v>
      </c>
      <c r="AK72" s="196">
        <v>22</v>
      </c>
      <c r="AL72" s="197" t="s">
        <v>69</v>
      </c>
      <c r="AM72" s="7" t="s">
        <v>37</v>
      </c>
      <c r="AN72" s="8">
        <v>43861</v>
      </c>
      <c r="AO72" s="171"/>
      <c r="AP72" s="14">
        <v>1590.3700000000001</v>
      </c>
      <c r="AQ72" s="14"/>
      <c r="AR72" s="7"/>
      <c r="AS72" s="7"/>
      <c r="AT72" s="7">
        <v>-12.41</v>
      </c>
      <c r="AU72" s="17">
        <f t="shared" si="0"/>
        <v>1590.3700000000001</v>
      </c>
      <c r="AV72" s="200">
        <f t="shared" si="1"/>
        <v>0</v>
      </c>
      <c r="AW72" s="19">
        <f t="shared" si="2"/>
        <v>0</v>
      </c>
      <c r="AX72" s="15">
        <f t="shared" si="3"/>
        <v>0</v>
      </c>
      <c r="AY72" s="11">
        <f t="shared" si="4"/>
        <v>0</v>
      </c>
      <c r="AZ72" s="14">
        <f t="shared" si="5"/>
        <v>0</v>
      </c>
      <c r="BA72" s="13">
        <f t="shared" si="6"/>
        <v>0</v>
      </c>
      <c r="BB72" s="125">
        <f t="shared" si="7"/>
        <v>312.22962629042024</v>
      </c>
      <c r="BC72" s="22">
        <v>2</v>
      </c>
      <c r="BD72" s="7" t="s">
        <v>39</v>
      </c>
      <c r="BE72" s="214">
        <v>22</v>
      </c>
      <c r="BF72" s="7" t="s">
        <v>69</v>
      </c>
      <c r="BG72" s="7" t="s">
        <v>37</v>
      </c>
      <c r="BH72" s="8">
        <v>43890</v>
      </c>
      <c r="BI72" s="171"/>
      <c r="BJ72" s="7">
        <v>1590.3700000000001</v>
      </c>
      <c r="BK72" s="7"/>
      <c r="BL72" s="7"/>
      <c r="BM72" s="7"/>
      <c r="BN72" s="7">
        <v>-12.41</v>
      </c>
      <c r="BO72" s="17">
        <v>1590.3700000000001</v>
      </c>
      <c r="BP72" s="18">
        <f t="shared" si="8"/>
        <v>0</v>
      </c>
      <c r="BQ72" s="19">
        <f t="shared" si="9"/>
        <v>0</v>
      </c>
      <c r="BR72" s="15">
        <f t="shared" si="10"/>
        <v>0</v>
      </c>
      <c r="BS72" s="11">
        <f t="shared" si="11"/>
        <v>0</v>
      </c>
      <c r="BT72" s="7">
        <f t="shared" si="12"/>
        <v>0</v>
      </c>
      <c r="BU72" s="13">
        <f t="shared" si="13"/>
        <v>0</v>
      </c>
      <c r="BV72" s="21">
        <f t="shared" si="14"/>
        <v>312.22962629042024</v>
      </c>
      <c r="BW72" s="22">
        <v>2</v>
      </c>
      <c r="BX72" s="7" t="s">
        <v>39</v>
      </c>
      <c r="DC72" s="6"/>
      <c r="DF72" s="99"/>
    </row>
    <row r="73" spans="17:110" ht="19.5" customHeight="1">
      <c r="Q73" s="12">
        <v>23</v>
      </c>
      <c r="R73" s="7" t="s">
        <v>78</v>
      </c>
      <c r="S73" s="7" t="s">
        <v>8</v>
      </c>
      <c r="T73" s="8">
        <v>43830</v>
      </c>
      <c r="U73" s="171"/>
      <c r="V73" s="7">
        <v>46.97</v>
      </c>
      <c r="W73" s="7"/>
      <c r="X73" s="7"/>
      <c r="Y73" s="7"/>
      <c r="Z73" s="7"/>
      <c r="AA73" s="17">
        <v>46.97</v>
      </c>
      <c r="AB73" s="18">
        <v>0</v>
      </c>
      <c r="AC73" s="19">
        <v>0</v>
      </c>
      <c r="AD73" s="15">
        <v>0</v>
      </c>
      <c r="AE73" s="11">
        <v>0</v>
      </c>
      <c r="AF73" s="7">
        <v>0</v>
      </c>
      <c r="AG73" s="13">
        <v>0</v>
      </c>
      <c r="AH73" s="125">
        <v>-144.0559539259968</v>
      </c>
      <c r="AI73" s="22">
        <v>1</v>
      </c>
      <c r="AJ73" s="7" t="s">
        <v>39</v>
      </c>
      <c r="AK73" s="196">
        <v>23</v>
      </c>
      <c r="AL73" s="197" t="s">
        <v>78</v>
      </c>
      <c r="AM73" s="7" t="s">
        <v>8</v>
      </c>
      <c r="AN73" s="8">
        <v>43861</v>
      </c>
      <c r="AO73" s="171"/>
      <c r="AP73" s="14">
        <v>46.97</v>
      </c>
      <c r="AQ73" s="14"/>
      <c r="AR73" s="7"/>
      <c r="AS73" s="7"/>
      <c r="AT73" s="7"/>
      <c r="AU73" s="17">
        <f t="shared" si="0"/>
        <v>46.97</v>
      </c>
      <c r="AV73" s="200">
        <f t="shared" si="1"/>
        <v>0</v>
      </c>
      <c r="AW73" s="19">
        <f t="shared" si="2"/>
        <v>0</v>
      </c>
      <c r="AX73" s="15">
        <f t="shared" si="3"/>
        <v>0</v>
      </c>
      <c r="AY73" s="11">
        <f t="shared" si="4"/>
        <v>0</v>
      </c>
      <c r="AZ73" s="14">
        <f t="shared" si="5"/>
        <v>0</v>
      </c>
      <c r="BA73" s="13">
        <f t="shared" si="6"/>
        <v>0</v>
      </c>
      <c r="BB73" s="125">
        <f t="shared" si="7"/>
        <v>-144.0559539259968</v>
      </c>
      <c r="BC73" s="22">
        <v>1</v>
      </c>
      <c r="BD73" s="7" t="s">
        <v>39</v>
      </c>
      <c r="BE73" s="214">
        <v>23</v>
      </c>
      <c r="BF73" s="7" t="s">
        <v>78</v>
      </c>
      <c r="BG73" s="7" t="s">
        <v>8</v>
      </c>
      <c r="BH73" s="8">
        <v>43890</v>
      </c>
      <c r="BI73" s="171"/>
      <c r="BJ73" s="7">
        <v>46.97</v>
      </c>
      <c r="BK73" s="7"/>
      <c r="BL73" s="7"/>
      <c r="BM73" s="7"/>
      <c r="BN73" s="7"/>
      <c r="BO73" s="17">
        <v>46.97</v>
      </c>
      <c r="BP73" s="18">
        <f t="shared" si="8"/>
        <v>0</v>
      </c>
      <c r="BQ73" s="19">
        <f t="shared" si="9"/>
        <v>0</v>
      </c>
      <c r="BR73" s="15">
        <f t="shared" si="10"/>
        <v>0</v>
      </c>
      <c r="BS73" s="11">
        <f t="shared" si="11"/>
        <v>0</v>
      </c>
      <c r="BT73" s="7">
        <f t="shared" si="12"/>
        <v>0</v>
      </c>
      <c r="BU73" s="13">
        <f t="shared" si="13"/>
        <v>0</v>
      </c>
      <c r="BV73" s="21">
        <f t="shared" si="14"/>
        <v>-144.0559539259968</v>
      </c>
      <c r="BW73" s="22">
        <v>1</v>
      </c>
      <c r="BX73" s="7" t="s">
        <v>39</v>
      </c>
      <c r="DC73" s="6"/>
      <c r="DF73" s="99"/>
    </row>
    <row r="74" spans="17:110" ht="19.5" customHeight="1">
      <c r="Q74" s="12">
        <v>24</v>
      </c>
      <c r="R74" s="7" t="s">
        <v>70</v>
      </c>
      <c r="S74" s="7" t="s">
        <v>21</v>
      </c>
      <c r="T74" s="8">
        <v>43830</v>
      </c>
      <c r="U74" s="171"/>
      <c r="V74" s="7">
        <v>9563.23</v>
      </c>
      <c r="W74" s="7"/>
      <c r="X74" s="7"/>
      <c r="Y74" s="7"/>
      <c r="Z74" s="7"/>
      <c r="AA74" s="17">
        <v>9563.23</v>
      </c>
      <c r="AB74" s="18">
        <v>1.889999999999418</v>
      </c>
      <c r="AC74" s="19">
        <v>0.2267999999999303</v>
      </c>
      <c r="AD74" s="15">
        <v>2.116799999999348</v>
      </c>
      <c r="AE74" s="11">
        <v>6.138719999998109</v>
      </c>
      <c r="AF74" s="7">
        <v>-0.6244432142776137</v>
      </c>
      <c r="AG74" s="13">
        <v>5.5142767857204955</v>
      </c>
      <c r="AH74" s="125">
        <v>-1050.4365771015243</v>
      </c>
      <c r="AI74" s="22">
        <v>1</v>
      </c>
      <c r="AJ74" s="7" t="s">
        <v>39</v>
      </c>
      <c r="AK74" s="196">
        <v>24</v>
      </c>
      <c r="AL74" s="197" t="s">
        <v>70</v>
      </c>
      <c r="AM74" s="7" t="s">
        <v>21</v>
      </c>
      <c r="AN74" s="8">
        <v>43861</v>
      </c>
      <c r="AO74" s="171"/>
      <c r="AP74" s="14">
        <v>9573.08</v>
      </c>
      <c r="AQ74" s="14"/>
      <c r="AR74" s="7"/>
      <c r="AS74" s="7"/>
      <c r="AT74" s="7"/>
      <c r="AU74" s="17">
        <f t="shared" si="0"/>
        <v>9573.08</v>
      </c>
      <c r="AV74" s="200">
        <f t="shared" si="1"/>
        <v>9.850000000000364</v>
      </c>
      <c r="AW74" s="19">
        <f t="shared" si="2"/>
        <v>1.1820000000000441</v>
      </c>
      <c r="AX74" s="15">
        <f t="shared" si="3"/>
        <v>11.032000000000409</v>
      </c>
      <c r="AY74" s="11">
        <f t="shared" si="4"/>
        <v>31.992800000001186</v>
      </c>
      <c r="AZ74" s="14">
        <f t="shared" si="5"/>
        <v>-3.4140288497674316</v>
      </c>
      <c r="BA74" s="13">
        <f t="shared" si="6"/>
        <v>28.578771150233756</v>
      </c>
      <c r="BB74" s="125">
        <f t="shared" si="7"/>
        <v>-1021.8578059512906</v>
      </c>
      <c r="BC74" s="22">
        <v>1</v>
      </c>
      <c r="BD74" s="7" t="s">
        <v>39</v>
      </c>
      <c r="BE74" s="214">
        <v>24</v>
      </c>
      <c r="BF74" s="7" t="s">
        <v>70</v>
      </c>
      <c r="BG74" s="7" t="s">
        <v>21</v>
      </c>
      <c r="BH74" s="8">
        <v>43890</v>
      </c>
      <c r="BI74" s="171"/>
      <c r="BJ74" s="7">
        <v>9584.85</v>
      </c>
      <c r="BK74" s="7"/>
      <c r="BL74" s="7"/>
      <c r="BM74" s="7"/>
      <c r="BN74" s="7"/>
      <c r="BO74" s="17">
        <v>9584.85</v>
      </c>
      <c r="BP74" s="18">
        <f t="shared" si="8"/>
        <v>11.770000000000437</v>
      </c>
      <c r="BQ74" s="19">
        <f t="shared" si="9"/>
        <v>2.9621721266692838</v>
      </c>
      <c r="BR74" s="15">
        <f t="shared" si="10"/>
        <v>14.73217212666972</v>
      </c>
      <c r="BS74" s="11">
        <f t="shared" si="11"/>
        <v>42.72329916734219</v>
      </c>
      <c r="BT74" s="7">
        <f t="shared" si="12"/>
        <v>-4.20568437616119</v>
      </c>
      <c r="BU74" s="13">
        <f t="shared" si="13"/>
        <v>38.517614791181</v>
      </c>
      <c r="BV74" s="21">
        <f t="shared" si="14"/>
        <v>-983.3401911601096</v>
      </c>
      <c r="BW74" s="22">
        <v>1</v>
      </c>
      <c r="BX74" s="7" t="s">
        <v>39</v>
      </c>
      <c r="DC74" s="6"/>
      <c r="DF74" s="99"/>
    </row>
    <row r="75" spans="17:110" ht="19.5" customHeight="1">
      <c r="Q75" s="12">
        <v>25</v>
      </c>
      <c r="R75" s="7" t="s">
        <v>71</v>
      </c>
      <c r="S75" s="7" t="s">
        <v>102</v>
      </c>
      <c r="T75" s="8">
        <v>43830</v>
      </c>
      <c r="U75" s="171"/>
      <c r="V75" s="7">
        <v>11430.23</v>
      </c>
      <c r="W75" s="7"/>
      <c r="X75" s="7"/>
      <c r="Y75" s="7">
        <v>4482.45</v>
      </c>
      <c r="Z75" s="7"/>
      <c r="AA75" s="17">
        <v>15912.68</v>
      </c>
      <c r="AB75" s="18">
        <v>4.880000000001019</v>
      </c>
      <c r="AC75" s="19">
        <v>0.5856000000001226</v>
      </c>
      <c r="AD75" s="15">
        <v>5.4656000000011415</v>
      </c>
      <c r="AE75" s="11">
        <v>15.85024000000331</v>
      </c>
      <c r="AF75" s="7">
        <v>-1.6123189871303336</v>
      </c>
      <c r="AG75" s="13">
        <v>14.237921012872977</v>
      </c>
      <c r="AH75" s="125">
        <v>-3084.011847611113</v>
      </c>
      <c r="AI75" s="22">
        <v>2</v>
      </c>
      <c r="AJ75" s="7" t="s">
        <v>39</v>
      </c>
      <c r="AK75" s="196">
        <v>25</v>
      </c>
      <c r="AL75" s="197" t="s">
        <v>71</v>
      </c>
      <c r="AM75" s="7" t="s">
        <v>102</v>
      </c>
      <c r="AN75" s="8">
        <v>43861</v>
      </c>
      <c r="AO75" s="171"/>
      <c r="AP75" s="14">
        <v>11442.210000000001</v>
      </c>
      <c r="AQ75" s="14"/>
      <c r="AR75" s="7"/>
      <c r="AS75" s="7">
        <v>4482.45</v>
      </c>
      <c r="AT75" s="7"/>
      <c r="AU75" s="17">
        <f t="shared" si="0"/>
        <v>15924.66</v>
      </c>
      <c r="AV75" s="200">
        <f t="shared" si="1"/>
        <v>11.979999999999563</v>
      </c>
      <c r="AW75" s="19">
        <f t="shared" si="2"/>
        <v>1.4375999999999483</v>
      </c>
      <c r="AX75" s="15">
        <f t="shared" si="3"/>
        <v>13.417599999999512</v>
      </c>
      <c r="AY75" s="11">
        <f t="shared" si="4"/>
        <v>38.911039999998586</v>
      </c>
      <c r="AZ75" s="14">
        <f t="shared" si="5"/>
        <v>-4.152290925909728</v>
      </c>
      <c r="BA75" s="13">
        <f t="shared" si="6"/>
        <v>34.758749074088854</v>
      </c>
      <c r="BB75" s="125">
        <f t="shared" si="7"/>
        <v>-3049.253098537024</v>
      </c>
      <c r="BC75" s="22">
        <v>2</v>
      </c>
      <c r="BD75" s="7" t="s">
        <v>39</v>
      </c>
      <c r="BE75" s="214">
        <v>25</v>
      </c>
      <c r="BF75" s="7" t="s">
        <v>71</v>
      </c>
      <c r="BG75" s="7" t="s">
        <v>102</v>
      </c>
      <c r="BH75" s="8">
        <v>43890</v>
      </c>
      <c r="BI75" s="171"/>
      <c r="BJ75" s="7">
        <v>11446.33</v>
      </c>
      <c r="BK75" s="7"/>
      <c r="BL75" s="7"/>
      <c r="BM75" s="7">
        <v>4482.45</v>
      </c>
      <c r="BN75" s="7"/>
      <c r="BO75" s="17">
        <v>15928.779999999999</v>
      </c>
      <c r="BP75" s="18">
        <f t="shared" si="8"/>
        <v>4.119999999998981</v>
      </c>
      <c r="BQ75" s="19">
        <f t="shared" si="9"/>
        <v>1.0368860800232778</v>
      </c>
      <c r="BR75" s="15">
        <f t="shared" si="10"/>
        <v>5.156886080022259</v>
      </c>
      <c r="BS75" s="11">
        <f t="shared" si="11"/>
        <v>14.95496963206455</v>
      </c>
      <c r="BT75" s="7">
        <f t="shared" si="12"/>
        <v>-1.4721681928444497</v>
      </c>
      <c r="BU75" s="13">
        <f t="shared" si="13"/>
        <v>13.4828014392201</v>
      </c>
      <c r="BV75" s="21">
        <f t="shared" si="14"/>
        <v>-3035.770297097804</v>
      </c>
      <c r="BW75" s="22">
        <v>2</v>
      </c>
      <c r="BX75" s="7" t="s">
        <v>39</v>
      </c>
      <c r="DC75" s="6"/>
      <c r="DF75" s="99"/>
    </row>
    <row r="76" spans="17:110" ht="19.5" customHeight="1">
      <c r="Q76" s="12">
        <v>26</v>
      </c>
      <c r="R76" s="7" t="s">
        <v>72</v>
      </c>
      <c r="S76" s="7" t="s">
        <v>15</v>
      </c>
      <c r="T76" s="8">
        <v>43830</v>
      </c>
      <c r="U76" s="171">
        <v>10000</v>
      </c>
      <c r="V76" s="7">
        <v>122051.21</v>
      </c>
      <c r="W76" s="7"/>
      <c r="X76" s="7"/>
      <c r="Y76" s="7"/>
      <c r="Z76" s="7"/>
      <c r="AA76" s="17">
        <v>122051.21</v>
      </c>
      <c r="AB76" s="18">
        <v>4625.419999999998</v>
      </c>
      <c r="AC76" s="19">
        <v>555.0504000000002</v>
      </c>
      <c r="AD76" s="15">
        <v>5180.470399999998</v>
      </c>
      <c r="AE76" s="11">
        <v>15023.364159999996</v>
      </c>
      <c r="AF76" s="7">
        <v>-1528.207477346481</v>
      </c>
      <c r="AG76" s="13">
        <v>13495.156682653515</v>
      </c>
      <c r="AH76" s="125">
        <v>13456.755999787174</v>
      </c>
      <c r="AI76" s="22">
        <v>1</v>
      </c>
      <c r="AJ76" s="7" t="s">
        <v>39</v>
      </c>
      <c r="AK76" s="196">
        <v>26</v>
      </c>
      <c r="AL76" s="197" t="s">
        <v>72</v>
      </c>
      <c r="AM76" s="7" t="s">
        <v>15</v>
      </c>
      <c r="AN76" s="8">
        <v>43861</v>
      </c>
      <c r="AO76" s="171">
        <v>14000</v>
      </c>
      <c r="AP76" s="14">
        <v>126198.17</v>
      </c>
      <c r="AQ76" s="14"/>
      <c r="AR76" s="7"/>
      <c r="AS76" s="7"/>
      <c r="AT76" s="7"/>
      <c r="AU76" s="17">
        <f t="shared" si="0"/>
        <v>126198.17</v>
      </c>
      <c r="AV76" s="200">
        <f t="shared" si="1"/>
        <v>4146.959999999992</v>
      </c>
      <c r="AW76" s="19">
        <f t="shared" si="2"/>
        <v>497.63519999999926</v>
      </c>
      <c r="AX76" s="15">
        <f t="shared" si="3"/>
        <v>4644.595199999991</v>
      </c>
      <c r="AY76" s="11">
        <f t="shared" si="4"/>
        <v>13469.326079999972</v>
      </c>
      <c r="AZ76" s="14">
        <f t="shared" si="5"/>
        <v>-1437.3442719625373</v>
      </c>
      <c r="BA76" s="13">
        <f t="shared" si="6"/>
        <v>12031.981808037435</v>
      </c>
      <c r="BB76" s="125">
        <f t="shared" si="7"/>
        <v>11488.73780782461</v>
      </c>
      <c r="BC76" s="22">
        <v>1</v>
      </c>
      <c r="BD76" s="7" t="s">
        <v>39</v>
      </c>
      <c r="BE76" s="214">
        <v>26</v>
      </c>
      <c r="BF76" s="7" t="s">
        <v>72</v>
      </c>
      <c r="BG76" s="7" t="s">
        <v>15</v>
      </c>
      <c r="BH76" s="8">
        <v>43890</v>
      </c>
      <c r="BI76" s="171">
        <v>12000</v>
      </c>
      <c r="BJ76" s="7">
        <v>130060.96</v>
      </c>
      <c r="BK76" s="7"/>
      <c r="BL76" s="7"/>
      <c r="BM76" s="7"/>
      <c r="BN76" s="7"/>
      <c r="BO76" s="17">
        <v>130060.96</v>
      </c>
      <c r="BP76" s="18">
        <f t="shared" si="8"/>
        <v>3862.790000000008</v>
      </c>
      <c r="BQ76" s="19">
        <f t="shared" si="9"/>
        <v>972.1536847218728</v>
      </c>
      <c r="BR76" s="15">
        <f t="shared" si="10"/>
        <v>4834.943684721881</v>
      </c>
      <c r="BS76" s="11">
        <f t="shared" si="11"/>
        <v>14021.336685693455</v>
      </c>
      <c r="BT76" s="7">
        <f t="shared" si="12"/>
        <v>-1380.2613042813182</v>
      </c>
      <c r="BU76" s="13">
        <f t="shared" si="13"/>
        <v>12641.075381412138</v>
      </c>
      <c r="BV76" s="21">
        <f t="shared" si="14"/>
        <v>12129.813189236747</v>
      </c>
      <c r="BW76" s="22">
        <v>1</v>
      </c>
      <c r="BX76" s="7" t="s">
        <v>39</v>
      </c>
      <c r="DC76" s="6"/>
      <c r="DF76" s="99"/>
    </row>
    <row r="77" spans="17:110" ht="19.5" customHeight="1">
      <c r="Q77" s="12">
        <v>27</v>
      </c>
      <c r="R77" s="7" t="s">
        <v>135</v>
      </c>
      <c r="S77" s="7" t="s">
        <v>125</v>
      </c>
      <c r="T77" s="8">
        <v>43830</v>
      </c>
      <c r="U77" s="171"/>
      <c r="V77" s="7">
        <v>4545.78</v>
      </c>
      <c r="W77" s="7">
        <v>43.949999999999996</v>
      </c>
      <c r="X77" s="7">
        <v>2041.1099999999997</v>
      </c>
      <c r="Y77" s="7"/>
      <c r="Z77" s="7"/>
      <c r="AA77" s="17">
        <v>6630.839999999999</v>
      </c>
      <c r="AB77" s="18">
        <v>25.449999999999818</v>
      </c>
      <c r="AC77" s="19">
        <v>3.0539999999999803</v>
      </c>
      <c r="AD77" s="15">
        <v>28.5039999999998</v>
      </c>
      <c r="AE77" s="11">
        <v>82.66159999999941</v>
      </c>
      <c r="AF77" s="7">
        <v>-8.408507832470928</v>
      </c>
      <c r="AG77" s="13">
        <v>74.25309216752848</v>
      </c>
      <c r="AH77" s="125">
        <v>14.954038775239184</v>
      </c>
      <c r="AI77" s="22">
        <v>2</v>
      </c>
      <c r="AJ77" s="7" t="s">
        <v>39</v>
      </c>
      <c r="AK77" s="196">
        <v>27</v>
      </c>
      <c r="AL77" s="197" t="s">
        <v>135</v>
      </c>
      <c r="AM77" s="7" t="s">
        <v>125</v>
      </c>
      <c r="AN77" s="8">
        <v>43861</v>
      </c>
      <c r="AO77" s="171"/>
      <c r="AP77" s="14">
        <v>4581.95</v>
      </c>
      <c r="AQ77" s="14">
        <v>43.949999999999996</v>
      </c>
      <c r="AR77" s="7">
        <v>2041.1099999999997</v>
      </c>
      <c r="AS77" s="7"/>
      <c r="AT77" s="7"/>
      <c r="AU77" s="17">
        <f t="shared" si="0"/>
        <v>6667.009999999999</v>
      </c>
      <c r="AV77" s="200">
        <f t="shared" si="1"/>
        <v>36.17000000000007</v>
      </c>
      <c r="AW77" s="19">
        <f t="shared" si="2"/>
        <v>4.3404000000000105</v>
      </c>
      <c r="AX77" s="15">
        <f t="shared" si="3"/>
        <v>40.51040000000008</v>
      </c>
      <c r="AY77" s="11">
        <f t="shared" si="4"/>
        <v>117.48016000000024</v>
      </c>
      <c r="AZ77" s="14">
        <f t="shared" si="5"/>
        <v>-12.536591217876515</v>
      </c>
      <c r="BA77" s="13">
        <f t="shared" si="6"/>
        <v>104.94356878212372</v>
      </c>
      <c r="BB77" s="125">
        <f t="shared" si="7"/>
        <v>119.8976075573629</v>
      </c>
      <c r="BC77" s="22">
        <v>2</v>
      </c>
      <c r="BD77" s="7" t="s">
        <v>39</v>
      </c>
      <c r="BE77" s="214">
        <v>27</v>
      </c>
      <c r="BF77" s="7" t="s">
        <v>135</v>
      </c>
      <c r="BG77" s="7" t="s">
        <v>125</v>
      </c>
      <c r="BH77" s="8">
        <v>43890</v>
      </c>
      <c r="BI77" s="171"/>
      <c r="BJ77" s="7">
        <v>4628.56</v>
      </c>
      <c r="BK77" s="7">
        <v>43.949999999999996</v>
      </c>
      <c r="BL77" s="7">
        <v>2041.1099999999997</v>
      </c>
      <c r="BM77" s="7"/>
      <c r="BN77" s="7"/>
      <c r="BO77" s="17">
        <v>6713.62</v>
      </c>
      <c r="BP77" s="18">
        <f t="shared" si="8"/>
        <v>46.61000000000058</v>
      </c>
      <c r="BQ77" s="19">
        <f t="shared" si="9"/>
        <v>11.730402958712993</v>
      </c>
      <c r="BR77" s="15">
        <f t="shared" si="10"/>
        <v>58.340402958713575</v>
      </c>
      <c r="BS77" s="11">
        <f t="shared" si="11"/>
        <v>169.18716858026937</v>
      </c>
      <c r="BT77" s="7">
        <f t="shared" si="12"/>
        <v>-16.654795987499426</v>
      </c>
      <c r="BU77" s="13">
        <f t="shared" si="13"/>
        <v>152.53237259276995</v>
      </c>
      <c r="BV77" s="21">
        <f t="shared" si="14"/>
        <v>272.42998015013285</v>
      </c>
      <c r="BW77" s="22">
        <v>2</v>
      </c>
      <c r="BX77" s="7" t="s">
        <v>39</v>
      </c>
      <c r="DC77" s="6"/>
      <c r="DF77" s="99"/>
    </row>
    <row r="78" spans="17:129" ht="19.5" customHeight="1">
      <c r="Q78" s="12">
        <v>28</v>
      </c>
      <c r="R78" s="7" t="s">
        <v>74</v>
      </c>
      <c r="S78" s="7" t="s">
        <v>103</v>
      </c>
      <c r="T78" s="8">
        <v>43830</v>
      </c>
      <c r="U78" s="171"/>
      <c r="V78" s="7">
        <v>359.11</v>
      </c>
      <c r="W78" s="7"/>
      <c r="X78" s="7"/>
      <c r="Y78" s="7">
        <v>1001.32</v>
      </c>
      <c r="Z78" s="7">
        <v>86.73</v>
      </c>
      <c r="AA78" s="17">
        <v>1360.43</v>
      </c>
      <c r="AB78" s="18">
        <v>0</v>
      </c>
      <c r="AC78" s="19">
        <v>0</v>
      </c>
      <c r="AD78" s="15">
        <v>0</v>
      </c>
      <c r="AE78" s="11">
        <v>0</v>
      </c>
      <c r="AF78" s="7">
        <v>0</v>
      </c>
      <c r="AG78" s="13">
        <v>0</v>
      </c>
      <c r="AH78" s="125">
        <v>35.71961587424478</v>
      </c>
      <c r="AI78" s="22">
        <v>2</v>
      </c>
      <c r="AJ78" s="7" t="s">
        <v>39</v>
      </c>
      <c r="AK78" s="198">
        <v>28</v>
      </c>
      <c r="AL78" s="133" t="s">
        <v>74</v>
      </c>
      <c r="AM78" s="14" t="s">
        <v>103</v>
      </c>
      <c r="AN78" s="178">
        <v>43861</v>
      </c>
      <c r="AO78" s="171"/>
      <c r="AP78" s="14">
        <v>359.11</v>
      </c>
      <c r="AQ78" s="14"/>
      <c r="AR78" s="14"/>
      <c r="AS78" s="14">
        <v>1001.32</v>
      </c>
      <c r="AT78" s="14">
        <v>86.73</v>
      </c>
      <c r="AU78" s="17">
        <f t="shared" si="0"/>
        <v>1360.43</v>
      </c>
      <c r="AV78" s="200">
        <f t="shared" si="1"/>
        <v>0</v>
      </c>
      <c r="AW78" s="19">
        <f t="shared" si="2"/>
        <v>0</v>
      </c>
      <c r="AX78" s="15">
        <f t="shared" si="3"/>
        <v>0</v>
      </c>
      <c r="AY78" s="11">
        <f t="shared" si="4"/>
        <v>0</v>
      </c>
      <c r="AZ78" s="14">
        <f t="shared" si="5"/>
        <v>0</v>
      </c>
      <c r="BA78" s="13">
        <f t="shared" si="6"/>
        <v>0</v>
      </c>
      <c r="BB78" s="125">
        <f t="shared" si="7"/>
        <v>35.71961587424478</v>
      </c>
      <c r="BC78" s="22">
        <v>2</v>
      </c>
      <c r="BD78" s="7" t="s">
        <v>39</v>
      </c>
      <c r="BE78" s="214">
        <v>28</v>
      </c>
      <c r="BF78" s="7" t="s">
        <v>74</v>
      </c>
      <c r="BG78" s="7" t="s">
        <v>103</v>
      </c>
      <c r="BH78" s="8">
        <v>43890</v>
      </c>
      <c r="BI78" s="171"/>
      <c r="BJ78" s="7">
        <v>359.11</v>
      </c>
      <c r="BK78" s="7"/>
      <c r="BL78" s="7"/>
      <c r="BM78" s="7">
        <v>1001.32</v>
      </c>
      <c r="BN78" s="7">
        <v>86.73</v>
      </c>
      <c r="BO78" s="17">
        <v>1360.43</v>
      </c>
      <c r="BP78" s="18">
        <f t="shared" si="8"/>
        <v>0</v>
      </c>
      <c r="BQ78" s="19">
        <f t="shared" si="9"/>
        <v>0</v>
      </c>
      <c r="BR78" s="15">
        <f t="shared" si="10"/>
        <v>0</v>
      </c>
      <c r="BS78" s="11">
        <f t="shared" si="11"/>
        <v>0</v>
      </c>
      <c r="BT78" s="7">
        <f t="shared" si="12"/>
        <v>0</v>
      </c>
      <c r="BU78" s="13">
        <f t="shared" si="13"/>
        <v>0</v>
      </c>
      <c r="BV78" s="21">
        <f t="shared" si="14"/>
        <v>35.71961587424478</v>
      </c>
      <c r="BW78" s="22">
        <v>2</v>
      </c>
      <c r="BX78" s="7" t="s">
        <v>39</v>
      </c>
      <c r="DC78" s="6"/>
      <c r="DF78" s="9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80"/>
      <c r="DT78" s="180"/>
      <c r="DU78" s="180"/>
      <c r="DV78" s="180"/>
      <c r="DW78" s="180"/>
      <c r="DX78" s="180"/>
      <c r="DY78" s="180"/>
    </row>
    <row r="79" spans="17:129" ht="19.5" customHeight="1">
      <c r="Q79" s="12">
        <v>29</v>
      </c>
      <c r="R79" s="7" t="s">
        <v>75</v>
      </c>
      <c r="S79" s="7" t="s">
        <v>104</v>
      </c>
      <c r="T79" s="8">
        <v>43830</v>
      </c>
      <c r="U79" s="171"/>
      <c r="V79" s="7">
        <v>284.62</v>
      </c>
      <c r="W79" s="7"/>
      <c r="X79" s="7"/>
      <c r="Y79" s="7">
        <v>705.21</v>
      </c>
      <c r="Z79" s="7"/>
      <c r="AA79" s="17">
        <v>989.83</v>
      </c>
      <c r="AB79" s="18">
        <v>0</v>
      </c>
      <c r="AC79" s="19">
        <v>0</v>
      </c>
      <c r="AD79" s="15">
        <v>0</v>
      </c>
      <c r="AE79" s="11">
        <v>0</v>
      </c>
      <c r="AF79" s="7">
        <v>0</v>
      </c>
      <c r="AG79" s="13">
        <v>0</v>
      </c>
      <c r="AH79" s="125">
        <v>202.2467936057206</v>
      </c>
      <c r="AI79" s="22">
        <v>2</v>
      </c>
      <c r="AJ79" s="7" t="s">
        <v>39</v>
      </c>
      <c r="AK79" s="198">
        <v>29</v>
      </c>
      <c r="AL79" s="133" t="s">
        <v>75</v>
      </c>
      <c r="AM79" s="14" t="s">
        <v>104</v>
      </c>
      <c r="AN79" s="178">
        <v>43861</v>
      </c>
      <c r="AO79" s="171"/>
      <c r="AP79" s="14">
        <v>284.62</v>
      </c>
      <c r="AQ79" s="14"/>
      <c r="AR79" s="14"/>
      <c r="AS79" s="14">
        <v>705.21</v>
      </c>
      <c r="AT79" s="14"/>
      <c r="AU79" s="17">
        <f t="shared" si="0"/>
        <v>989.83</v>
      </c>
      <c r="AV79" s="200">
        <f t="shared" si="1"/>
        <v>0</v>
      </c>
      <c r="AW79" s="19">
        <f t="shared" si="2"/>
        <v>0</v>
      </c>
      <c r="AX79" s="15">
        <f t="shared" si="3"/>
        <v>0</v>
      </c>
      <c r="AY79" s="11">
        <f t="shared" si="4"/>
        <v>0</v>
      </c>
      <c r="AZ79" s="14">
        <f t="shared" si="5"/>
        <v>0</v>
      </c>
      <c r="BA79" s="13">
        <f t="shared" si="6"/>
        <v>0</v>
      </c>
      <c r="BB79" s="125">
        <f t="shared" si="7"/>
        <v>202.2467936057206</v>
      </c>
      <c r="BC79" s="22">
        <v>2</v>
      </c>
      <c r="BD79" s="7" t="s">
        <v>39</v>
      </c>
      <c r="BE79" s="214">
        <v>29</v>
      </c>
      <c r="BF79" s="7" t="s">
        <v>75</v>
      </c>
      <c r="BG79" s="7" t="s">
        <v>104</v>
      </c>
      <c r="BH79" s="8">
        <v>43890</v>
      </c>
      <c r="BI79" s="171"/>
      <c r="BJ79" s="7">
        <v>284.62</v>
      </c>
      <c r="BK79" s="7"/>
      <c r="BL79" s="7"/>
      <c r="BM79" s="7">
        <v>705.21</v>
      </c>
      <c r="BN79" s="7"/>
      <c r="BO79" s="17">
        <v>989.83</v>
      </c>
      <c r="BP79" s="18">
        <f t="shared" si="8"/>
        <v>0</v>
      </c>
      <c r="BQ79" s="19">
        <f t="shared" si="9"/>
        <v>0</v>
      </c>
      <c r="BR79" s="15">
        <f t="shared" si="10"/>
        <v>0</v>
      </c>
      <c r="BS79" s="11">
        <f t="shared" si="11"/>
        <v>0</v>
      </c>
      <c r="BT79" s="7">
        <f t="shared" si="12"/>
        <v>0</v>
      </c>
      <c r="BU79" s="13">
        <f t="shared" si="13"/>
        <v>0</v>
      </c>
      <c r="BV79" s="21">
        <f t="shared" si="14"/>
        <v>202.2467936057206</v>
      </c>
      <c r="BW79" s="22">
        <v>2</v>
      </c>
      <c r="BX79" s="7" t="s">
        <v>39</v>
      </c>
      <c r="DC79" s="6"/>
      <c r="DF79" s="9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80"/>
      <c r="DT79" s="180"/>
      <c r="DU79" s="180"/>
      <c r="DV79" s="180"/>
      <c r="DW79" s="180"/>
      <c r="DX79" s="180"/>
      <c r="DY79" s="180"/>
    </row>
    <row r="80" spans="17:129" ht="19.5" customHeight="1">
      <c r="Q80" s="12">
        <v>30</v>
      </c>
      <c r="R80" s="7" t="s">
        <v>76</v>
      </c>
      <c r="S80" s="7" t="s">
        <v>99</v>
      </c>
      <c r="T80" s="8">
        <v>43830</v>
      </c>
      <c r="U80" s="171"/>
      <c r="V80" s="7">
        <v>747.27</v>
      </c>
      <c r="W80" s="7"/>
      <c r="X80" s="7">
        <v>0</v>
      </c>
      <c r="Y80" s="7">
        <v>697.24</v>
      </c>
      <c r="Z80" s="7">
        <v>76.96</v>
      </c>
      <c r="AA80" s="17">
        <v>1444.51</v>
      </c>
      <c r="AB80" s="18">
        <v>0.009999999999990905</v>
      </c>
      <c r="AC80" s="19">
        <v>0.0011999999999989094</v>
      </c>
      <c r="AD80" s="15">
        <v>0.011199999999989815</v>
      </c>
      <c r="AE80" s="11">
        <v>0.03247999999997046</v>
      </c>
      <c r="AF80" s="7">
        <v>-0.003303932350673218</v>
      </c>
      <c r="AG80" s="13">
        <v>0.029176067649297244</v>
      </c>
      <c r="AH80" s="125">
        <v>-192.2400631492059</v>
      </c>
      <c r="AI80" s="22">
        <v>2</v>
      </c>
      <c r="AJ80" s="7" t="s">
        <v>39</v>
      </c>
      <c r="AK80" s="196">
        <v>30</v>
      </c>
      <c r="AL80" s="197" t="s">
        <v>76</v>
      </c>
      <c r="AM80" s="7" t="s">
        <v>99</v>
      </c>
      <c r="AN80" s="8">
        <v>43861</v>
      </c>
      <c r="AO80" s="171"/>
      <c r="AP80" s="14">
        <v>747.28</v>
      </c>
      <c r="AQ80" s="14"/>
      <c r="AR80" s="7">
        <v>0</v>
      </c>
      <c r="AS80" s="7">
        <v>697.24</v>
      </c>
      <c r="AT80" s="7">
        <v>76.96</v>
      </c>
      <c r="AU80" s="17">
        <f t="shared" si="0"/>
        <v>1444.52</v>
      </c>
      <c r="AV80" s="200">
        <f t="shared" si="1"/>
        <v>0.009999999999990905</v>
      </c>
      <c r="AW80" s="19">
        <f t="shared" si="2"/>
        <v>0.0011999999999989092</v>
      </c>
      <c r="AX80" s="15">
        <f t="shared" si="3"/>
        <v>0.011199999999989814</v>
      </c>
      <c r="AY80" s="11">
        <f t="shared" si="4"/>
        <v>0.032479999999970456</v>
      </c>
      <c r="AZ80" s="14">
        <f t="shared" si="5"/>
        <v>-0.003466019136816446</v>
      </c>
      <c r="BA80" s="13">
        <f t="shared" si="6"/>
        <v>0.02901398086315401</v>
      </c>
      <c r="BB80" s="125">
        <f t="shared" si="7"/>
        <v>-192.21104916834275</v>
      </c>
      <c r="BC80" s="22">
        <v>2</v>
      </c>
      <c r="BD80" s="7" t="s">
        <v>39</v>
      </c>
      <c r="BE80" s="214">
        <v>30</v>
      </c>
      <c r="BF80" s="7" t="s">
        <v>76</v>
      </c>
      <c r="BG80" s="7" t="s">
        <v>99</v>
      </c>
      <c r="BH80" s="8">
        <v>43890</v>
      </c>
      <c r="BI80" s="171"/>
      <c r="BJ80" s="7">
        <v>747.34</v>
      </c>
      <c r="BK80" s="7"/>
      <c r="BL80" s="7">
        <v>0</v>
      </c>
      <c r="BM80" s="7">
        <v>697.24</v>
      </c>
      <c r="BN80" s="7">
        <v>76.96</v>
      </c>
      <c r="BO80" s="17">
        <v>1444.58</v>
      </c>
      <c r="BP80" s="18">
        <f t="shared" si="8"/>
        <v>0.05999999999994543</v>
      </c>
      <c r="BQ80" s="19">
        <f t="shared" si="9"/>
        <v>0.015100282718775598</v>
      </c>
      <c r="BR80" s="15">
        <f t="shared" si="10"/>
        <v>0.07510028271872103</v>
      </c>
      <c r="BS80" s="11">
        <f t="shared" si="11"/>
        <v>0.217790819884291</v>
      </c>
      <c r="BT80" s="7">
        <f t="shared" si="12"/>
        <v>-0.021439342614225365</v>
      </c>
      <c r="BU80" s="13">
        <f t="shared" si="13"/>
        <v>0.19635147727006563</v>
      </c>
      <c r="BV80" s="21">
        <f t="shared" si="14"/>
        <v>-192.01469769107268</v>
      </c>
      <c r="BW80" s="22">
        <v>2</v>
      </c>
      <c r="BX80" s="7" t="s">
        <v>39</v>
      </c>
      <c r="DC80" s="6"/>
      <c r="DF80" s="99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0"/>
      <c r="DT80" s="180"/>
      <c r="DU80" s="180"/>
      <c r="DV80" s="180"/>
      <c r="DW80" s="180"/>
      <c r="DX80" s="180"/>
      <c r="DY80" s="180"/>
    </row>
    <row r="81" spans="17:110" s="47" customFormat="1" ht="19.5" customHeight="1">
      <c r="Q81" s="102"/>
      <c r="R81" s="102" t="s">
        <v>28</v>
      </c>
      <c r="S81" s="102"/>
      <c r="T81" s="102"/>
      <c r="U81" s="102">
        <v>33160.79</v>
      </c>
      <c r="V81" s="102">
        <v>364061.27000000014</v>
      </c>
      <c r="W81" s="102">
        <v>139.6</v>
      </c>
      <c r="X81" s="102">
        <v>-912.6899999999996</v>
      </c>
      <c r="Y81" s="102">
        <v>9510.6</v>
      </c>
      <c r="Z81" s="102">
        <v>31694.129999999997</v>
      </c>
      <c r="AA81" s="102">
        <v>372798.7800000001</v>
      </c>
      <c r="AB81" s="102">
        <v>10887.029999999982</v>
      </c>
      <c r="AC81" s="102">
        <v>1306.443599999999</v>
      </c>
      <c r="AD81" s="102">
        <v>12193.473599999983</v>
      </c>
      <c r="AE81" s="102">
        <v>35361.07343999995</v>
      </c>
      <c r="AF81" s="102">
        <v>-3597.0010619782506</v>
      </c>
      <c r="AG81" s="102">
        <v>31764.072378021694</v>
      </c>
      <c r="AH81" s="102">
        <v>5130.43252749629</v>
      </c>
      <c r="AI81" s="102"/>
      <c r="AJ81" s="102"/>
      <c r="AK81" s="199"/>
      <c r="AL81" s="102" t="s">
        <v>28</v>
      </c>
      <c r="AM81" s="102"/>
      <c r="AN81" s="102"/>
      <c r="AO81" s="102">
        <f>SUM(AO51:AO80)</f>
        <v>23770.25</v>
      </c>
      <c r="AP81" s="102">
        <f aca="true" t="shared" si="15" ref="AP81:BB81">SUM(AP51:AP80)</f>
        <v>374439.17</v>
      </c>
      <c r="AQ81" s="102">
        <f t="shared" si="15"/>
        <v>139.6</v>
      </c>
      <c r="AR81" s="102">
        <f t="shared" si="15"/>
        <v>-912.6899999999996</v>
      </c>
      <c r="AS81" s="102">
        <f t="shared" si="15"/>
        <v>9510.6</v>
      </c>
      <c r="AT81" s="102">
        <f t="shared" si="15"/>
        <v>31694.129999999997</v>
      </c>
      <c r="AU81" s="102">
        <f t="shared" si="15"/>
        <v>383176.68</v>
      </c>
      <c r="AV81" s="102">
        <f t="shared" si="15"/>
        <v>10377.900000000007</v>
      </c>
      <c r="AW81" s="102">
        <f t="shared" si="15"/>
        <v>1245.3480000000013</v>
      </c>
      <c r="AX81" s="102">
        <f t="shared" si="15"/>
        <v>11623.248000000007</v>
      </c>
      <c r="AY81" s="102">
        <f t="shared" si="15"/>
        <v>33707.41920000002</v>
      </c>
      <c r="AZ81" s="102">
        <f t="shared" si="15"/>
        <v>-3597.0000000000136</v>
      </c>
      <c r="BA81" s="102">
        <f t="shared" si="15"/>
        <v>30110.419200000008</v>
      </c>
      <c r="BB81" s="102">
        <f t="shared" si="15"/>
        <v>11470.601727496298</v>
      </c>
      <c r="BC81" s="102"/>
      <c r="BD81" s="102"/>
      <c r="BE81" s="102"/>
      <c r="BF81" s="102" t="s">
        <v>28</v>
      </c>
      <c r="BG81" s="102"/>
      <c r="BH81" s="102"/>
      <c r="BI81" s="102">
        <f>SUM(BI51:BI80)</f>
        <v>29462.16</v>
      </c>
      <c r="BJ81" s="102">
        <f aca="true" t="shared" si="16" ref="BJ81:BV81">SUM(BJ51:BJ80)</f>
        <v>384505.70999999996</v>
      </c>
      <c r="BK81" s="102">
        <f t="shared" si="16"/>
        <v>139.6</v>
      </c>
      <c r="BL81" s="102">
        <f t="shared" si="16"/>
        <v>-912.6899999999996</v>
      </c>
      <c r="BM81" s="102">
        <f t="shared" si="16"/>
        <v>9510.6</v>
      </c>
      <c r="BN81" s="102">
        <f t="shared" si="16"/>
        <v>31694.129999999997</v>
      </c>
      <c r="BO81" s="102">
        <f t="shared" si="16"/>
        <v>393243.22000000003</v>
      </c>
      <c r="BP81" s="102">
        <f t="shared" si="16"/>
        <v>10066.540000000008</v>
      </c>
      <c r="BQ81" s="102">
        <f t="shared" si="16"/>
        <v>2533.4600000000282</v>
      </c>
      <c r="BR81" s="102">
        <f t="shared" si="16"/>
        <v>12600.000000000036</v>
      </c>
      <c r="BS81" s="102">
        <f t="shared" si="16"/>
        <v>36540.0000000001</v>
      </c>
      <c r="BT81" s="102">
        <f t="shared" si="16"/>
        <v>-3597.0000000000105</v>
      </c>
      <c r="BU81" s="102">
        <f t="shared" si="16"/>
        <v>32943.000000000095</v>
      </c>
      <c r="BV81" s="102">
        <f t="shared" si="16"/>
        <v>14951.441727496394</v>
      </c>
      <c r="BW81" s="102"/>
      <c r="BX81" s="102"/>
      <c r="DF81" s="183"/>
    </row>
    <row r="82" spans="17:110" s="47" customFormat="1" ht="19.5" customHeight="1">
      <c r="Q82" s="48"/>
      <c r="R82" s="48" t="s">
        <v>44</v>
      </c>
      <c r="S82" s="48"/>
      <c r="T82" s="48"/>
      <c r="U82" s="48"/>
      <c r="V82" s="48"/>
      <c r="W82" s="48"/>
      <c r="X82" s="48"/>
      <c r="Y82" s="48"/>
      <c r="Z82" s="48"/>
      <c r="AA82" s="48"/>
      <c r="AB82" s="48">
        <v>10887.030000000028</v>
      </c>
      <c r="AC82" s="48">
        <v>1306.4436000000042</v>
      </c>
      <c r="AD82" s="48">
        <v>12193.473599999981</v>
      </c>
      <c r="AE82" s="48">
        <v>35361.07343999995</v>
      </c>
      <c r="AF82" s="48">
        <v>-3596.9999999999995</v>
      </c>
      <c r="AG82" s="48">
        <v>31764.072378021698</v>
      </c>
      <c r="AH82" s="48">
        <v>5130.432527496287</v>
      </c>
      <c r="AI82" s="48"/>
      <c r="AJ82" s="48"/>
      <c r="AK82" s="48"/>
      <c r="AL82" s="48" t="s">
        <v>44</v>
      </c>
      <c r="AM82" s="48"/>
      <c r="AN82" s="48"/>
      <c r="AO82" s="48"/>
      <c r="AP82" s="48"/>
      <c r="AQ82" s="48"/>
      <c r="AR82" s="48"/>
      <c r="AS82" s="48"/>
      <c r="AT82" s="48"/>
      <c r="AU82" s="48">
        <f>AP81+AQ81+AR81+AS81</f>
        <v>383176.67999999993</v>
      </c>
      <c r="AV82" s="201">
        <f>AU81-AA81</f>
        <v>10377.899999999907</v>
      </c>
      <c r="AW82" s="48">
        <f>V37</f>
        <v>1245.3479999999963</v>
      </c>
      <c r="AX82" s="48">
        <f>AV81+AW81</f>
        <v>11623.248000000009</v>
      </c>
      <c r="AY82" s="48">
        <f>AX81*2.9</f>
        <v>33707.41920000002</v>
      </c>
      <c r="AZ82" s="48">
        <f>AD9</f>
        <v>-3596.9999999999995</v>
      </c>
      <c r="BA82" s="48">
        <f>AE9</f>
        <v>30110.419199999887</v>
      </c>
      <c r="BB82" s="48">
        <f>AH81-AO81+BA81</f>
        <v>11470.601727496298</v>
      </c>
      <c r="BC82" s="48"/>
      <c r="BD82" s="48"/>
      <c r="BE82" s="48"/>
      <c r="BF82" s="48" t="s">
        <v>44</v>
      </c>
      <c r="BG82" s="48"/>
      <c r="BH82" s="48"/>
      <c r="BI82" s="48"/>
      <c r="BJ82" s="48"/>
      <c r="BK82" s="48"/>
      <c r="BL82" s="48"/>
      <c r="BM82" s="48"/>
      <c r="BN82" s="48"/>
      <c r="BO82" s="48"/>
      <c r="BP82" s="48">
        <f>U38</f>
        <v>10066.539999999979</v>
      </c>
      <c r="BQ82" s="48">
        <f>V38</f>
        <v>2533.460000000021</v>
      </c>
      <c r="BR82" s="48">
        <f>U11</f>
        <v>12600</v>
      </c>
      <c r="BS82" s="48">
        <f>BR81*2.9</f>
        <v>36540.0000000001</v>
      </c>
      <c r="BT82" s="48">
        <f>AD11</f>
        <v>-3597.0000000000005</v>
      </c>
      <c r="BU82" s="48">
        <f>BS81+BT81</f>
        <v>32943.000000000095</v>
      </c>
      <c r="BV82" s="48">
        <f>BB81-BI81+BU81</f>
        <v>14951.441727496393</v>
      </c>
      <c r="BW82" s="48"/>
      <c r="BX82" s="48"/>
      <c r="DF82" s="183"/>
    </row>
    <row r="83" spans="17:109" ht="69" customHeight="1">
      <c r="Q83" s="7" t="s">
        <v>0</v>
      </c>
      <c r="R83" s="7" t="s">
        <v>1</v>
      </c>
      <c r="S83" s="7" t="s">
        <v>34</v>
      </c>
      <c r="T83" s="7" t="s">
        <v>2</v>
      </c>
      <c r="U83" s="7" t="s">
        <v>185</v>
      </c>
      <c r="V83" s="7" t="s">
        <v>3</v>
      </c>
      <c r="W83" s="36" t="s">
        <v>97</v>
      </c>
      <c r="X83" s="36" t="s">
        <v>122</v>
      </c>
      <c r="Y83" s="36" t="s">
        <v>123</v>
      </c>
      <c r="Z83" s="36" t="s">
        <v>98</v>
      </c>
      <c r="AA83" s="7" t="s">
        <v>45</v>
      </c>
      <c r="AB83" s="7" t="s">
        <v>25</v>
      </c>
      <c r="AC83" s="7" t="s">
        <v>24</v>
      </c>
      <c r="AD83" s="7" t="s">
        <v>26</v>
      </c>
      <c r="AE83" s="7" t="s">
        <v>163</v>
      </c>
      <c r="AF83" s="7" t="s">
        <v>164</v>
      </c>
      <c r="AG83" s="7" t="s">
        <v>180</v>
      </c>
      <c r="AH83" s="7" t="s">
        <v>189</v>
      </c>
      <c r="AI83" s="7" t="s">
        <v>77</v>
      </c>
      <c r="AJ83" s="7" t="s">
        <v>80</v>
      </c>
      <c r="AK83" s="7" t="str">
        <f>AK50</f>
        <v>#</v>
      </c>
      <c r="AL83" s="7" t="str">
        <f aca="true" t="shared" si="17" ref="AL83:BX83">AL50</f>
        <v>Наименование_Точки_Учета</v>
      </c>
      <c r="AM83" s="7" t="str">
        <f t="shared" si="17"/>
        <v>Серийный_№</v>
      </c>
      <c r="AN83" s="7" t="str">
        <f t="shared" si="17"/>
        <v>дата</v>
      </c>
      <c r="AO83" s="7" t="str">
        <f t="shared" si="17"/>
        <v>оплачено в январе 2020</v>
      </c>
      <c r="AP83" s="7" t="str">
        <f t="shared" si="17"/>
        <v>СуммАктЭн</v>
      </c>
      <c r="AQ83" s="7" t="str">
        <f t="shared" si="1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7" t="str">
        <f t="shared" si="17"/>
        <v>Корректировка показаний 
ПУ за текущий год
(показания ст.ПУ минус показания нов.ПУ на дату монтажа )</v>
      </c>
      <c r="AS83" s="7" t="str">
        <f t="shared" si="17"/>
        <v>Корректировка показаний ПУ за прошлый год
(не включено в сальдо показаний на начало года)</v>
      </c>
      <c r="AT83" s="7" t="str">
        <f t="shared" si="17"/>
        <v>Корректировка показаний ПУ за прошлые периоды
(включено в сальдо показаний на начало года)</v>
      </c>
      <c r="AU83" s="7" t="str">
        <f t="shared" si="17"/>
        <v>Показания счетчиков в расчет</v>
      </c>
      <c r="AV83" s="7" t="str">
        <f t="shared" si="17"/>
        <v>Потребление</v>
      </c>
      <c r="AW83" s="7" t="str">
        <f t="shared" si="17"/>
        <v>Потери, кВт</v>
      </c>
      <c r="AX83" s="7" t="str">
        <f t="shared" si="17"/>
        <v>Потребление+ потери, кВт</v>
      </c>
      <c r="AY83" s="7" t="str">
        <f t="shared" si="17"/>
        <v>Сумма к оплате, руб. тариф 2,90руб./кВт</v>
      </c>
      <c r="AZ83" s="7" t="str">
        <f t="shared" si="17"/>
        <v>к возмещению от п2п3п4п5п6, руб.</v>
      </c>
      <c r="BA83" s="7" t="str">
        <f t="shared" si="17"/>
        <v>Сумаа к начислению по садоводам с учетом возмещения, руб.</v>
      </c>
      <c r="BB83" s="7" t="str">
        <f t="shared" si="17"/>
        <v>Переплата (-)
Долг(+) 
на 01.02.2020</v>
      </c>
      <c r="BC83" s="7" t="str">
        <f t="shared" si="17"/>
        <v>Способ получения показаний:
1=Показания ПУ
2=Показания ПУ с уч.показаний ст.ПУ
РО=расчет.объем показаний
0=Демонтаж счетчика</v>
      </c>
      <c r="BD83" s="7" t="str">
        <f t="shared" si="17"/>
        <v>Вид начисления</v>
      </c>
      <c r="BE83" s="7" t="str">
        <f t="shared" si="17"/>
        <v>#</v>
      </c>
      <c r="BF83" s="7" t="str">
        <f t="shared" si="17"/>
        <v>Наименование_Точки_Учета</v>
      </c>
      <c r="BG83" s="7" t="str">
        <f t="shared" si="17"/>
        <v>Серийный_№</v>
      </c>
      <c r="BH83" s="7" t="str">
        <f t="shared" si="17"/>
        <v>дата</v>
      </c>
      <c r="BI83" s="7" t="str">
        <f t="shared" si="17"/>
        <v>Оплачено в феврале</v>
      </c>
      <c r="BJ83" s="7" t="str">
        <f t="shared" si="17"/>
        <v>СуммАктЭн</v>
      </c>
      <c r="BK83" s="7" t="str">
        <f t="shared" si="17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BL83" s="7" t="str">
        <f t="shared" si="17"/>
        <v>Корректировка показаний 
ПУ за текущий год
(показания ст.ПУ минус показания нов.ПУ на дату монтажа )</v>
      </c>
      <c r="BM83" s="7" t="str">
        <f t="shared" si="17"/>
        <v>Корректировка показаний ПУ за прошлый год
(не включено в сальдо показаний на начало года)</v>
      </c>
      <c r="BN83" s="7" t="str">
        <f t="shared" si="17"/>
        <v>Корректировка показаний ПУ за прошлые периоды
(включено в сальдо показаний на начало года)</v>
      </c>
      <c r="BO83" s="7" t="str">
        <f t="shared" si="17"/>
        <v>Показания счетчиков в расчет</v>
      </c>
      <c r="BP83" s="7" t="str">
        <f t="shared" si="17"/>
        <v>Потребление</v>
      </c>
      <c r="BQ83" s="7" t="str">
        <f t="shared" si="17"/>
        <v>Потери, кВт</v>
      </c>
      <c r="BR83" s="7" t="str">
        <f t="shared" si="17"/>
        <v>Потребление+ потери, кВт</v>
      </c>
      <c r="BS83" s="7" t="str">
        <f t="shared" si="17"/>
        <v>Сумма к оплате, руб. тариф 2,90руб./кВт</v>
      </c>
      <c r="BT83" s="7" t="str">
        <f t="shared" si="17"/>
        <v>к возмещению от п2п3п4п5п6, руб.</v>
      </c>
      <c r="BU83" s="7" t="str">
        <f t="shared" si="17"/>
        <v>Сумаа к начислению по садоводам с учетом возмещения, руб.</v>
      </c>
      <c r="BV83" s="7" t="str">
        <f t="shared" si="17"/>
        <v>Переплата (-)
Долг(+) 
на 01.03.2020</v>
      </c>
      <c r="BW83" s="7" t="str">
        <f t="shared" si="17"/>
        <v>Способ получения показаний:
1=Показания ПУ
2=Показания ПУ с уч.показаний ст.ПУ
РО=расчет.объем показаний
0=Демонтаж счетчика</v>
      </c>
      <c r="BX83" s="7" t="str">
        <f t="shared" si="17"/>
        <v>Вид начисления</v>
      </c>
      <c r="DC83" s="6"/>
      <c r="DE83" s="99"/>
    </row>
  </sheetData>
  <sheetProtection/>
  <mergeCells count="8">
    <mergeCell ref="BE49:BX49"/>
    <mergeCell ref="Q1:X1"/>
    <mergeCell ref="Y2:AB2"/>
    <mergeCell ref="AC2:AF2"/>
    <mergeCell ref="AG2:AJ2"/>
    <mergeCell ref="AK2:AN2"/>
    <mergeCell ref="Q49:AJ49"/>
    <mergeCell ref="AK49:BD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2020-03-15T07:49:09Z</cp:lastPrinted>
  <dcterms:created xsi:type="dcterms:W3CDTF">2014-12-21T06:03:52Z</dcterms:created>
  <dcterms:modified xsi:type="dcterms:W3CDTF">2020-03-15T09:18:44Z</dcterms:modified>
  <cp:category/>
  <cp:version/>
  <cp:contentType/>
  <cp:contentStatus/>
</cp:coreProperties>
</file>